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grane\Crayon Group\Controlling Group - 2021\External Reporting\Q4 2021\"/>
    </mc:Choice>
  </mc:AlternateContent>
  <xr:revisionPtr revIDLastSave="0" documentId="13_ncr:1_{357921A6-6D50-44C0-809F-7B058DE1EEFF}" xr6:coauthVersionLast="47" xr6:coauthVersionMax="47" xr10:uidLastSave="{00000000-0000-0000-0000-000000000000}"/>
  <bookViews>
    <workbookView xWindow="-108" yWindow="-108" windowWidth="23256" windowHeight="14016" tabRatio="826" firstSheet="1" activeTab="6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Market Cluster" sheetId="4" r:id="rId4"/>
    <sheet name="Income Statement-Business Area" sheetId="5" r:id="rId5"/>
    <sheet name="Revenue - MC by BA" sheetId="6" r:id="rId6"/>
    <sheet name="Gross Profit - MC by BA" sheetId="7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1" i="7" l="1"/>
  <c r="Z30" i="7"/>
  <c r="Z29" i="7"/>
  <c r="Z28" i="7"/>
  <c r="Z32" i="7" s="1"/>
  <c r="Z26" i="7"/>
  <c r="Z25" i="7"/>
  <c r="Z24" i="7"/>
  <c r="Z23" i="7"/>
  <c r="Z20" i="7"/>
  <c r="Z19" i="7"/>
  <c r="Z18" i="7"/>
  <c r="Z21" i="7" s="1"/>
  <c r="Z16" i="7"/>
  <c r="Z15" i="7"/>
  <c r="Z14" i="7"/>
  <c r="Z13" i="7"/>
  <c r="Z10" i="7"/>
  <c r="Z9" i="7"/>
  <c r="Z8" i="7"/>
  <c r="Z11" i="7" s="1"/>
  <c r="Z6" i="7"/>
  <c r="Z5" i="7"/>
  <c r="Z4" i="7"/>
  <c r="Z3" i="7"/>
  <c r="Z31" i="6"/>
  <c r="Z30" i="6"/>
  <c r="Z29" i="6"/>
  <c r="Z28" i="6"/>
  <c r="Z33" i="6" s="1"/>
  <c r="Z25" i="6"/>
  <c r="Z24" i="6"/>
  <c r="Z26" i="6" s="1"/>
  <c r="Z23" i="6"/>
  <c r="Z20" i="6"/>
  <c r="Z19" i="6"/>
  <c r="Z18" i="6"/>
  <c r="Z21" i="6" s="1"/>
  <c r="Z15" i="6"/>
  <c r="Z14" i="6"/>
  <c r="Z16" i="6" s="1"/>
  <c r="Z13" i="6"/>
  <c r="Z10" i="6"/>
  <c r="Z9" i="6"/>
  <c r="Z8" i="6"/>
  <c r="Z11" i="6" s="1"/>
  <c r="Z5" i="6"/>
  <c r="Z4" i="6"/>
  <c r="Z6" i="6" s="1"/>
  <c r="Z3" i="6"/>
  <c r="Z25" i="5"/>
  <c r="Z24" i="5"/>
  <c r="Z23" i="5"/>
  <c r="Z26" i="5" s="1"/>
  <c r="Z22" i="5"/>
  <c r="Z21" i="5"/>
  <c r="Z20" i="5"/>
  <c r="Z17" i="5"/>
  <c r="Z16" i="5"/>
  <c r="Z15" i="5"/>
  <c r="Z14" i="5"/>
  <c r="Z13" i="5"/>
  <c r="Z12" i="5"/>
  <c r="Z18" i="5" s="1"/>
  <c r="Z9" i="5"/>
  <c r="Z8" i="5"/>
  <c r="Z7" i="5"/>
  <c r="Z6" i="5"/>
  <c r="Z5" i="5"/>
  <c r="Z4" i="5"/>
  <c r="Z3" i="5"/>
  <c r="Z10" i="5" s="1"/>
  <c r="Z24" i="4"/>
  <c r="Z23" i="4"/>
  <c r="Z22" i="4"/>
  <c r="Z21" i="4"/>
  <c r="Z20" i="4"/>
  <c r="Z26" i="4" s="1"/>
  <c r="Z17" i="4"/>
  <c r="Z16" i="4"/>
  <c r="Z15" i="4"/>
  <c r="Z14" i="4"/>
  <c r="Z13" i="4"/>
  <c r="Z12" i="4"/>
  <c r="Z18" i="4" s="1"/>
  <c r="Z9" i="4"/>
  <c r="Z8" i="4"/>
  <c r="Z7" i="4"/>
  <c r="Z6" i="4"/>
  <c r="Z5" i="4"/>
  <c r="Z4" i="4"/>
  <c r="Z3" i="4"/>
  <c r="Z10" i="4" s="1"/>
  <c r="U13" i="3"/>
  <c r="Z13" i="3"/>
  <c r="Z28" i="3"/>
  <c r="Z27" i="3"/>
  <c r="Z26" i="3"/>
  <c r="Z29" i="3" s="1"/>
  <c r="Z23" i="3"/>
  <c r="Z22" i="3"/>
  <c r="Z21" i="3"/>
  <c r="Z20" i="3"/>
  <c r="Z24" i="3" s="1"/>
  <c r="Z19" i="3"/>
  <c r="Z18" i="3"/>
  <c r="Z17" i="3"/>
  <c r="Z12" i="3"/>
  <c r="Z14" i="3" s="1"/>
  <c r="Z8" i="3"/>
  <c r="Z7" i="3"/>
  <c r="Z6" i="3"/>
  <c r="Z5" i="3"/>
  <c r="Z4" i="3"/>
  <c r="Z3" i="3"/>
  <c r="Z9" i="3" s="1"/>
  <c r="Z26" i="1"/>
  <c r="Z27" i="1" s="1"/>
  <c r="Z25" i="1"/>
  <c r="Z24" i="1"/>
  <c r="Z22" i="1"/>
  <c r="Z21" i="1"/>
  <c r="Z20" i="1"/>
  <c r="Z19" i="1"/>
  <c r="Z18" i="1"/>
  <c r="Z17" i="1"/>
  <c r="Z15" i="1"/>
  <c r="Z16" i="1" s="1"/>
  <c r="Z13" i="1"/>
  <c r="Z12" i="1"/>
  <c r="Z10" i="1"/>
  <c r="Z11" i="1" s="1"/>
  <c r="Z9" i="1"/>
  <c r="Z8" i="1"/>
  <c r="Z7" i="1"/>
  <c r="Z5" i="1"/>
  <c r="Z4" i="1"/>
  <c r="Z2" i="1"/>
  <c r="Z3" i="1" s="1"/>
  <c r="Y6" i="6"/>
  <c r="Z6" i="1" l="1"/>
  <c r="Y26" i="3"/>
  <c r="Y29" i="3" s="1"/>
  <c r="Y32" i="7" l="1"/>
  <c r="Y28" i="7"/>
  <c r="Y29" i="7"/>
  <c r="Y30" i="7"/>
  <c r="Y26" i="7"/>
  <c r="Y21" i="7"/>
  <c r="Y16" i="7"/>
  <c r="Y11" i="7"/>
  <c r="Y6" i="7"/>
  <c r="Y28" i="6"/>
  <c r="Y29" i="6"/>
  <c r="Y30" i="6"/>
  <c r="Y26" i="6"/>
  <c r="Y21" i="6"/>
  <c r="Y16" i="6"/>
  <c r="Y11" i="6"/>
  <c r="Y26" i="4"/>
  <c r="Y18" i="4"/>
  <c r="Y10" i="4"/>
  <c r="Y26" i="5"/>
  <c r="Y18" i="5"/>
  <c r="Y10" i="5"/>
  <c r="Y27" i="3"/>
  <c r="U27" i="3"/>
  <c r="Y24" i="3"/>
  <c r="Y14" i="3"/>
  <c r="Y9" i="3"/>
  <c r="R45" i="9"/>
  <c r="R46" i="9" s="1"/>
  <c r="R38" i="9"/>
  <c r="R30" i="9"/>
  <c r="R32" i="9" s="1"/>
  <c r="R28" i="9"/>
  <c r="R22" i="9"/>
  <c r="R14" i="9"/>
  <c r="R12" i="9"/>
  <c r="R9" i="9"/>
  <c r="R16" i="9" s="1"/>
  <c r="U2" i="1"/>
  <c r="Y19" i="1"/>
  <c r="Y5" i="1"/>
  <c r="Y6" i="1" s="1"/>
  <c r="Y3" i="1"/>
  <c r="Y9" i="1"/>
  <c r="X3" i="1"/>
  <c r="R47" i="9" l="1"/>
  <c r="R23" i="9"/>
  <c r="Y33" i="6"/>
  <c r="Y10" i="1"/>
  <c r="Y11" i="1" l="1"/>
  <c r="Y24" i="1"/>
  <c r="Y26" i="1" s="1"/>
  <c r="Y27" i="1" s="1"/>
  <c r="Y15" i="1"/>
  <c r="Y20" i="1" l="1"/>
  <c r="Y22" i="1" s="1"/>
  <c r="Y16" i="1"/>
  <c r="Q14" i="9" l="1"/>
  <c r="X6" i="7"/>
  <c r="X11" i="7"/>
  <c r="X16" i="7"/>
  <c r="X21" i="7"/>
  <c r="X26" i="7"/>
  <c r="X28" i="7"/>
  <c r="X29" i="7"/>
  <c r="X32" i="7" s="1"/>
  <c r="X30" i="7"/>
  <c r="X6" i="6"/>
  <c r="X11" i="6"/>
  <c r="X16" i="6"/>
  <c r="X21" i="6"/>
  <c r="X26" i="6"/>
  <c r="X33" i="6"/>
  <c r="X28" i="6"/>
  <c r="X29" i="6"/>
  <c r="X30" i="6"/>
  <c r="Q43" i="9"/>
  <c r="X26" i="5" l="1"/>
  <c r="X18" i="5"/>
  <c r="X10" i="5"/>
  <c r="X26" i="4"/>
  <c r="X18" i="4"/>
  <c r="X10" i="4"/>
  <c r="X24" i="3" l="1"/>
  <c r="X14" i="3"/>
  <c r="X9" i="3"/>
  <c r="X26" i="3" s="1"/>
  <c r="X29" i="3" s="1"/>
  <c r="Q45" i="9"/>
  <c r="Q46" i="9" s="1"/>
  <c r="Q38" i="9"/>
  <c r="Q28" i="9"/>
  <c r="Q30" i="9" s="1"/>
  <c r="Q32" i="9" s="1"/>
  <c r="Q22" i="9"/>
  <c r="Q12" i="9"/>
  <c r="Q9" i="9"/>
  <c r="Q16" i="9" s="1"/>
  <c r="X19" i="1"/>
  <c r="X9" i="1"/>
  <c r="X5" i="1"/>
  <c r="X6" i="1" s="1"/>
  <c r="W32" i="7"/>
  <c r="W28" i="7"/>
  <c r="W29" i="7"/>
  <c r="W30" i="7"/>
  <c r="W26" i="7"/>
  <c r="W21" i="7"/>
  <c r="W16" i="7"/>
  <c r="W11" i="7"/>
  <c r="W6" i="7"/>
  <c r="W33" i="6"/>
  <c r="W28" i="6"/>
  <c r="W29" i="6"/>
  <c r="W30" i="6"/>
  <c r="W26" i="6"/>
  <c r="W21" i="6"/>
  <c r="W16" i="6"/>
  <c r="W11" i="6"/>
  <c r="W6" i="6"/>
  <c r="W26" i="5"/>
  <c r="W18" i="5"/>
  <c r="W10" i="5"/>
  <c r="W26" i="4"/>
  <c r="W18" i="4"/>
  <c r="W10" i="4"/>
  <c r="W24" i="3"/>
  <c r="W14" i="3"/>
  <c r="W9" i="3"/>
  <c r="P45" i="9"/>
  <c r="P38" i="9"/>
  <c r="P28" i="9"/>
  <c r="P30" i="9" s="1"/>
  <c r="P32" i="9" s="1"/>
  <c r="P22" i="9"/>
  <c r="P12" i="9"/>
  <c r="P9" i="9"/>
  <c r="W19" i="1"/>
  <c r="W9" i="1"/>
  <c r="W5" i="1"/>
  <c r="W6" i="1" s="1"/>
  <c r="V3" i="1"/>
  <c r="W3" i="1"/>
  <c r="Q17" i="3"/>
  <c r="X10" i="1" l="1"/>
  <c r="P16" i="9"/>
  <c r="X15" i="1"/>
  <c r="X11" i="1"/>
  <c r="X24" i="1"/>
  <c r="X26" i="1" s="1"/>
  <c r="X27" i="1" s="1"/>
  <c r="Q47" i="9"/>
  <c r="Q23" i="9"/>
  <c r="W10" i="1"/>
  <c r="W15" i="1" s="1"/>
  <c r="W16" i="1" s="1"/>
  <c r="P46" i="9"/>
  <c r="P47" i="9" s="1"/>
  <c r="P23" i="9"/>
  <c r="W26" i="3"/>
  <c r="W29" i="3" s="1"/>
  <c r="U23" i="3"/>
  <c r="V32" i="7"/>
  <c r="V30" i="7"/>
  <c r="V29" i="7"/>
  <c r="V28" i="7"/>
  <c r="V26" i="7"/>
  <c r="V21" i="7"/>
  <c r="V16" i="7"/>
  <c r="V11" i="7"/>
  <c r="V6" i="7"/>
  <c r="V30" i="6"/>
  <c r="V29" i="6"/>
  <c r="V28" i="6"/>
  <c r="V26" i="6"/>
  <c r="V21" i="6"/>
  <c r="V16" i="6"/>
  <c r="V11" i="6"/>
  <c r="V6" i="6"/>
  <c r="V26" i="5"/>
  <c r="V18" i="5"/>
  <c r="V10" i="5"/>
  <c r="V26" i="4"/>
  <c r="V18" i="4"/>
  <c r="V10" i="4"/>
  <c r="V14" i="3"/>
  <c r="V24" i="3"/>
  <c r="V9" i="3"/>
  <c r="V26" i="3" s="1"/>
  <c r="O45" i="9"/>
  <c r="O38" i="9"/>
  <c r="O28" i="9"/>
  <c r="O30" i="9" s="1"/>
  <c r="O32" i="9" s="1"/>
  <c r="O22" i="9"/>
  <c r="O12" i="9"/>
  <c r="O9" i="9"/>
  <c r="V19" i="1"/>
  <c r="V9" i="1"/>
  <c r="V5" i="1"/>
  <c r="V6" i="1" s="1"/>
  <c r="W24" i="1" l="1"/>
  <c r="W26" i="1" s="1"/>
  <c r="W27" i="1" s="1"/>
  <c r="X20" i="1"/>
  <c r="X22" i="1" s="1"/>
  <c r="X16" i="1"/>
  <c r="O16" i="9"/>
  <c r="O23" i="9" s="1"/>
  <c r="O46" i="9"/>
  <c r="O47" i="9" s="1"/>
  <c r="W20" i="1"/>
  <c r="W22" i="1" s="1"/>
  <c r="W11" i="1"/>
  <c r="V33" i="6"/>
  <c r="V10" i="1"/>
  <c r="V24" i="1" s="1"/>
  <c r="V26" i="1" s="1"/>
  <c r="V27" i="1" s="1"/>
  <c r="V15" i="1" l="1"/>
  <c r="V11" i="1"/>
  <c r="T3" i="1"/>
  <c r="V20" i="1" l="1"/>
  <c r="V22" i="1" s="1"/>
  <c r="V16" i="1"/>
  <c r="T9" i="3"/>
  <c r="T4" i="1"/>
  <c r="T18" i="1" l="1"/>
  <c r="T8" i="1"/>
  <c r="T7" i="1"/>
  <c r="N22" i="9" l="1"/>
  <c r="T21" i="1"/>
  <c r="U25" i="1" l="1"/>
  <c r="U21" i="1"/>
  <c r="U17" i="1"/>
  <c r="U28" i="3"/>
  <c r="U20" i="3"/>
  <c r="U19" i="3"/>
  <c r="U12" i="3"/>
  <c r="U14" i="3" s="1"/>
  <c r="U5" i="3"/>
  <c r="U6" i="3"/>
  <c r="U7" i="3"/>
  <c r="U8" i="3"/>
  <c r="T18" i="3"/>
  <c r="T14" i="3"/>
  <c r="N38" i="9"/>
  <c r="N45" i="9"/>
  <c r="N28" i="9"/>
  <c r="N30" i="9" s="1"/>
  <c r="N32" i="9" s="1"/>
  <c r="N12" i="9"/>
  <c r="N9" i="9"/>
  <c r="U18" i="3" l="1"/>
  <c r="T24" i="3"/>
  <c r="N46" i="9"/>
  <c r="N47" i="9" s="1"/>
  <c r="N16" i="9"/>
  <c r="N23" i="9" s="1"/>
  <c r="T26" i="3"/>
  <c r="U31" i="7"/>
  <c r="U25" i="7"/>
  <c r="U24" i="7"/>
  <c r="U23" i="7"/>
  <c r="U20" i="7"/>
  <c r="U19" i="7"/>
  <c r="U18" i="7"/>
  <c r="U21" i="7" s="1"/>
  <c r="U15" i="7"/>
  <c r="U14" i="7"/>
  <c r="U13" i="7"/>
  <c r="U10" i="7"/>
  <c r="U9" i="7"/>
  <c r="U8" i="7"/>
  <c r="U11" i="7" s="1"/>
  <c r="U4" i="7"/>
  <c r="U5" i="7"/>
  <c r="U3" i="7"/>
  <c r="U6" i="7" s="1"/>
  <c r="T28" i="7"/>
  <c r="T29" i="7"/>
  <c r="T30" i="7"/>
  <c r="T26" i="7"/>
  <c r="T21" i="7"/>
  <c r="T16" i="7"/>
  <c r="T11" i="7"/>
  <c r="T6" i="7"/>
  <c r="U31" i="6"/>
  <c r="U25" i="6"/>
  <c r="U24" i="6"/>
  <c r="U23" i="6"/>
  <c r="U26" i="6" s="1"/>
  <c r="U20" i="6"/>
  <c r="U19" i="6"/>
  <c r="U18" i="6"/>
  <c r="U21" i="6" s="1"/>
  <c r="U15" i="6"/>
  <c r="U14" i="6"/>
  <c r="U13" i="6"/>
  <c r="U9" i="6"/>
  <c r="U10" i="6"/>
  <c r="U8" i="6"/>
  <c r="U11" i="6" s="1"/>
  <c r="U4" i="6"/>
  <c r="U5" i="6"/>
  <c r="U3" i="6"/>
  <c r="U6" i="6" s="1"/>
  <c r="T30" i="6"/>
  <c r="T29" i="6"/>
  <c r="T28" i="6"/>
  <c r="T26" i="6"/>
  <c r="T21" i="6"/>
  <c r="T16" i="6"/>
  <c r="T11" i="6"/>
  <c r="T6" i="6"/>
  <c r="T26" i="5"/>
  <c r="U25" i="5"/>
  <c r="U24" i="5"/>
  <c r="U23" i="5"/>
  <c r="U22" i="5"/>
  <c r="U21" i="5"/>
  <c r="U20" i="5"/>
  <c r="U12" i="5"/>
  <c r="U17" i="5"/>
  <c r="U16" i="5"/>
  <c r="U15" i="5"/>
  <c r="U14" i="5"/>
  <c r="U13" i="5"/>
  <c r="T18" i="5"/>
  <c r="T10" i="5"/>
  <c r="U4" i="5"/>
  <c r="U5" i="5"/>
  <c r="U6" i="5"/>
  <c r="U7" i="5"/>
  <c r="U8" i="5"/>
  <c r="U9" i="5"/>
  <c r="U3" i="5"/>
  <c r="U21" i="4"/>
  <c r="U22" i="4"/>
  <c r="U23" i="4"/>
  <c r="U24" i="4"/>
  <c r="U20" i="4"/>
  <c r="U26" i="4" s="1"/>
  <c r="U13" i="4"/>
  <c r="U14" i="4"/>
  <c r="U15" i="4"/>
  <c r="U16" i="4"/>
  <c r="U17" i="4"/>
  <c r="U12" i="4"/>
  <c r="U4" i="4"/>
  <c r="U5" i="4"/>
  <c r="U6" i="4"/>
  <c r="U7" i="4"/>
  <c r="U8" i="4"/>
  <c r="U9" i="4"/>
  <c r="U3" i="4"/>
  <c r="U10" i="4" s="1"/>
  <c r="T26" i="4"/>
  <c r="T18" i="4"/>
  <c r="T10" i="4"/>
  <c r="T19" i="1"/>
  <c r="T13" i="1"/>
  <c r="T12" i="1"/>
  <c r="T9" i="1"/>
  <c r="T5" i="1"/>
  <c r="T10" i="1" s="1"/>
  <c r="U18" i="4" l="1"/>
  <c r="U16" i="6"/>
  <c r="U16" i="7"/>
  <c r="U26" i="7"/>
  <c r="T32" i="7"/>
  <c r="T33" i="6"/>
  <c r="T6" i="1"/>
  <c r="U26" i="5"/>
  <c r="U10" i="5"/>
  <c r="U18" i="5"/>
  <c r="S28" i="7"/>
  <c r="S29" i="7"/>
  <c r="S30" i="7"/>
  <c r="S32" i="7"/>
  <c r="S26" i="7"/>
  <c r="S21" i="7"/>
  <c r="S16" i="7"/>
  <c r="S11" i="7"/>
  <c r="S6" i="7"/>
  <c r="S26" i="6"/>
  <c r="S21" i="6"/>
  <c r="S16" i="6"/>
  <c r="S11" i="6"/>
  <c r="S6" i="6"/>
  <c r="S28" i="6"/>
  <c r="S29" i="6"/>
  <c r="S30" i="6"/>
  <c r="S26" i="5"/>
  <c r="S18" i="5"/>
  <c r="S10" i="5"/>
  <c r="S26" i="4"/>
  <c r="S18" i="4"/>
  <c r="S10" i="4"/>
  <c r="S24" i="3"/>
  <c r="S14" i="3"/>
  <c r="S9" i="3"/>
  <c r="S26" i="3"/>
  <c r="M45" i="9"/>
  <c r="M38" i="9"/>
  <c r="M28" i="9"/>
  <c r="M30" i="9" s="1"/>
  <c r="M32" i="9" s="1"/>
  <c r="M22" i="9"/>
  <c r="M12" i="9"/>
  <c r="M16" i="9" s="1"/>
  <c r="M9" i="9"/>
  <c r="S5" i="1"/>
  <c r="S9" i="1"/>
  <c r="S19" i="1"/>
  <c r="S3" i="1"/>
  <c r="P25" i="1"/>
  <c r="H44" i="9"/>
  <c r="R9" i="3"/>
  <c r="R24" i="3"/>
  <c r="R14" i="3"/>
  <c r="U17" i="3"/>
  <c r="Q21" i="3"/>
  <c r="U21" i="3" s="1"/>
  <c r="Q22" i="3"/>
  <c r="U22" i="3" s="1"/>
  <c r="Q24" i="3"/>
  <c r="Q14" i="3"/>
  <c r="Q3" i="3"/>
  <c r="U3" i="3" s="1"/>
  <c r="Q4" i="3"/>
  <c r="U4" i="3" s="1"/>
  <c r="Q9" i="3"/>
  <c r="R28" i="7"/>
  <c r="R29" i="7"/>
  <c r="R30" i="7"/>
  <c r="R32" i="7"/>
  <c r="R26" i="6"/>
  <c r="R21" i="6"/>
  <c r="R16" i="6"/>
  <c r="R11" i="6"/>
  <c r="R6" i="6"/>
  <c r="R28" i="6"/>
  <c r="R29" i="6"/>
  <c r="R30" i="6"/>
  <c r="R26" i="5"/>
  <c r="R18" i="5"/>
  <c r="R10" i="5"/>
  <c r="R26" i="4"/>
  <c r="R18" i="4"/>
  <c r="R10" i="4"/>
  <c r="L38" i="9"/>
  <c r="L28" i="9"/>
  <c r="L30" i="9" s="1"/>
  <c r="L32" i="9" s="1"/>
  <c r="L45" i="9"/>
  <c r="L22" i="9"/>
  <c r="L12" i="9"/>
  <c r="L9" i="9"/>
  <c r="R19" i="1"/>
  <c r="R9" i="1"/>
  <c r="R5" i="1"/>
  <c r="R10" i="1" s="1"/>
  <c r="R3" i="1"/>
  <c r="R26" i="7"/>
  <c r="R21" i="7"/>
  <c r="R16" i="7"/>
  <c r="R11" i="7"/>
  <c r="R6" i="7"/>
  <c r="R33" i="6"/>
  <c r="Q26" i="5"/>
  <c r="Q18" i="1"/>
  <c r="U18" i="1" s="1"/>
  <c r="Q30" i="7"/>
  <c r="U30" i="7" s="1"/>
  <c r="Q29" i="7"/>
  <c r="U29" i="7" s="1"/>
  <c r="Q28" i="7"/>
  <c r="U28" i="7" s="1"/>
  <c r="U32" i="7" s="1"/>
  <c r="Q26" i="7"/>
  <c r="Q21" i="7"/>
  <c r="Q16" i="7"/>
  <c r="Q11" i="7"/>
  <c r="Q6" i="7"/>
  <c r="P31" i="7"/>
  <c r="P31" i="6"/>
  <c r="Q26" i="6"/>
  <c r="Q21" i="6"/>
  <c r="Q16" i="6"/>
  <c r="Q11" i="6"/>
  <c r="Q6" i="6"/>
  <c r="Q30" i="6"/>
  <c r="U30" i="6" s="1"/>
  <c r="Q29" i="6"/>
  <c r="U29" i="6" s="1"/>
  <c r="Q28" i="6"/>
  <c r="U28" i="6" s="1"/>
  <c r="Q18" i="5"/>
  <c r="Q10" i="5"/>
  <c r="Q26" i="4"/>
  <c r="Q18" i="4"/>
  <c r="Q10" i="4"/>
  <c r="L28" i="6"/>
  <c r="M9" i="3"/>
  <c r="P27" i="3"/>
  <c r="N9" i="3"/>
  <c r="L24" i="3"/>
  <c r="M24" i="3"/>
  <c r="K45" i="9"/>
  <c r="K38" i="9"/>
  <c r="K31" i="9"/>
  <c r="K29" i="9"/>
  <c r="K28" i="9"/>
  <c r="K22" i="9"/>
  <c r="K12" i="9"/>
  <c r="K9" i="9"/>
  <c r="P17" i="1"/>
  <c r="Q13" i="1"/>
  <c r="U13" i="1" s="1"/>
  <c r="Q12" i="1"/>
  <c r="U12" i="1" s="1"/>
  <c r="Q3" i="1"/>
  <c r="Q8" i="1"/>
  <c r="U8" i="1" s="1"/>
  <c r="Q7" i="1"/>
  <c r="U7" i="1" s="1"/>
  <c r="Q4" i="1"/>
  <c r="U4" i="1" s="1"/>
  <c r="Q33" i="6"/>
  <c r="Q32" i="7"/>
  <c r="K21" i="1"/>
  <c r="O7" i="1"/>
  <c r="O13" i="1"/>
  <c r="P13" i="1" s="1"/>
  <c r="O12" i="1"/>
  <c r="L5" i="1"/>
  <c r="L6" i="1"/>
  <c r="F5" i="6"/>
  <c r="F4" i="6"/>
  <c r="F3" i="6"/>
  <c r="F12" i="4"/>
  <c r="P23" i="6"/>
  <c r="P3" i="6"/>
  <c r="P25" i="7"/>
  <c r="P24" i="7"/>
  <c r="P23" i="7"/>
  <c r="P20" i="7"/>
  <c r="P19" i="7"/>
  <c r="P18" i="7"/>
  <c r="P21" i="7"/>
  <c r="P15" i="7"/>
  <c r="P14" i="7"/>
  <c r="P13" i="7"/>
  <c r="P10" i="7"/>
  <c r="P9" i="7"/>
  <c r="P8" i="7"/>
  <c r="P5" i="7"/>
  <c r="P4" i="7"/>
  <c r="P3" i="7"/>
  <c r="P7" i="4"/>
  <c r="P25" i="6"/>
  <c r="P24" i="6"/>
  <c r="P20" i="6"/>
  <c r="P19" i="6"/>
  <c r="P18" i="6"/>
  <c r="P15" i="6"/>
  <c r="P14" i="6"/>
  <c r="P13" i="6"/>
  <c r="P10" i="6"/>
  <c r="P9" i="6"/>
  <c r="P8" i="6"/>
  <c r="P5" i="6"/>
  <c r="P4" i="6"/>
  <c r="P25" i="5"/>
  <c r="P24" i="5"/>
  <c r="P23" i="5"/>
  <c r="P22" i="5"/>
  <c r="P21" i="5"/>
  <c r="P20" i="5"/>
  <c r="P17" i="5"/>
  <c r="P16" i="5"/>
  <c r="P15" i="5"/>
  <c r="P14" i="5"/>
  <c r="P13" i="5"/>
  <c r="P12" i="5"/>
  <c r="P18" i="5" s="1"/>
  <c r="P9" i="5"/>
  <c r="P8" i="5"/>
  <c r="P7" i="5"/>
  <c r="P6" i="5"/>
  <c r="P5" i="5"/>
  <c r="P4" i="5"/>
  <c r="P3" i="5"/>
  <c r="P10" i="5" s="1"/>
  <c r="P25" i="4"/>
  <c r="P24" i="4"/>
  <c r="P23" i="4"/>
  <c r="P22" i="4"/>
  <c r="P21" i="4"/>
  <c r="P20" i="4"/>
  <c r="P17" i="4"/>
  <c r="P16" i="4"/>
  <c r="P15" i="4"/>
  <c r="P14" i="4"/>
  <c r="P13" i="4"/>
  <c r="P12" i="4"/>
  <c r="P9" i="4"/>
  <c r="P8" i="4"/>
  <c r="P6" i="4"/>
  <c r="P5" i="4"/>
  <c r="P4" i="4"/>
  <c r="P3" i="4"/>
  <c r="P6" i="6"/>
  <c r="P11" i="7"/>
  <c r="P30" i="6"/>
  <c r="P16" i="7"/>
  <c r="P10" i="4"/>
  <c r="P26" i="4"/>
  <c r="P11" i="6"/>
  <c r="P16" i="6"/>
  <c r="P6" i="7"/>
  <c r="P18" i="4"/>
  <c r="P21" i="6"/>
  <c r="P26" i="7"/>
  <c r="P26" i="6"/>
  <c r="P28" i="6"/>
  <c r="P29" i="6"/>
  <c r="P14" i="1"/>
  <c r="P8" i="1"/>
  <c r="P4" i="1"/>
  <c r="P2" i="1"/>
  <c r="U3" i="1" s="1"/>
  <c r="P12" i="3"/>
  <c r="P3" i="3"/>
  <c r="P28" i="3"/>
  <c r="P23" i="3"/>
  <c r="P22" i="3"/>
  <c r="P21" i="3"/>
  <c r="P20" i="3"/>
  <c r="P19" i="3"/>
  <c r="P18" i="3"/>
  <c r="P17" i="3"/>
  <c r="P13" i="3"/>
  <c r="P8" i="3"/>
  <c r="P7" i="3"/>
  <c r="P6" i="3"/>
  <c r="P5" i="3"/>
  <c r="P4" i="3"/>
  <c r="N14" i="3"/>
  <c r="M14" i="3"/>
  <c r="M26" i="3"/>
  <c r="L14" i="3"/>
  <c r="L26" i="3"/>
  <c r="O24" i="3"/>
  <c r="F25" i="7"/>
  <c r="F24" i="7"/>
  <c r="F23" i="7"/>
  <c r="F20" i="7"/>
  <c r="F19" i="7"/>
  <c r="F18" i="7"/>
  <c r="F15" i="7"/>
  <c r="F14" i="7"/>
  <c r="F13" i="7"/>
  <c r="F10" i="7"/>
  <c r="F9" i="7"/>
  <c r="F8" i="7"/>
  <c r="F4" i="7"/>
  <c r="F3" i="7"/>
  <c r="B30" i="6"/>
  <c r="B29" i="6"/>
  <c r="B28" i="6"/>
  <c r="F25" i="6"/>
  <c r="F24" i="6"/>
  <c r="F23" i="6"/>
  <c r="F20" i="6"/>
  <c r="F19" i="6"/>
  <c r="F18" i="6"/>
  <c r="F15" i="6"/>
  <c r="F14" i="6"/>
  <c r="F13" i="6"/>
  <c r="F10" i="6"/>
  <c r="F9" i="6"/>
  <c r="F8" i="6"/>
  <c r="B33" i="6"/>
  <c r="F11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K6" i="7"/>
  <c r="J45" i="9"/>
  <c r="J38" i="9"/>
  <c r="J46" i="9" s="1"/>
  <c r="J28" i="9"/>
  <c r="J30" i="9" s="1"/>
  <c r="J32" i="9" s="1"/>
  <c r="B12" i="9"/>
  <c r="B16" i="9" s="1"/>
  <c r="C12" i="9"/>
  <c r="D12" i="9"/>
  <c r="E12" i="9"/>
  <c r="F12" i="9"/>
  <c r="G12" i="9"/>
  <c r="H12" i="9"/>
  <c r="I12" i="9"/>
  <c r="B9" i="9"/>
  <c r="C9" i="9"/>
  <c r="D9" i="9"/>
  <c r="E9" i="9"/>
  <c r="F9" i="9"/>
  <c r="G9" i="9"/>
  <c r="H9" i="9"/>
  <c r="H16" i="9" s="1"/>
  <c r="H23" i="9" s="1"/>
  <c r="I9" i="9"/>
  <c r="I16" i="9" s="1"/>
  <c r="J22" i="9"/>
  <c r="J12" i="9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F30" i="9" s="1"/>
  <c r="F32" i="9" s="1"/>
  <c r="E45" i="9"/>
  <c r="H38" i="9"/>
  <c r="I28" i="9"/>
  <c r="I30" i="9" s="1"/>
  <c r="I32" i="9" s="1"/>
  <c r="B38" i="9"/>
  <c r="D38" i="9"/>
  <c r="C38" i="9"/>
  <c r="H45" i="9"/>
  <c r="H46" i="9" s="1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K20" i="6"/>
  <c r="K19" i="6"/>
  <c r="K18" i="6"/>
  <c r="K3" i="6"/>
  <c r="J6" i="6"/>
  <c r="K25" i="6"/>
  <c r="K24" i="6"/>
  <c r="K23" i="6"/>
  <c r="K15" i="6"/>
  <c r="K14" i="6"/>
  <c r="K13" i="6"/>
  <c r="K10" i="6"/>
  <c r="K9" i="6"/>
  <c r="K8" i="6"/>
  <c r="K5" i="6"/>
  <c r="K4" i="6"/>
  <c r="L30" i="6"/>
  <c r="L29" i="6"/>
  <c r="J28" i="6"/>
  <c r="I28" i="6"/>
  <c r="H28" i="6"/>
  <c r="G28" i="6"/>
  <c r="G6" i="6"/>
  <c r="O32" i="7"/>
  <c r="K28" i="6"/>
  <c r="K6" i="6"/>
  <c r="L33" i="6"/>
  <c r="O28" i="6"/>
  <c r="O26" i="6"/>
  <c r="O21" i="6"/>
  <c r="O30" i="6"/>
  <c r="O29" i="6"/>
  <c r="O16" i="6"/>
  <c r="O11" i="6"/>
  <c r="O6" i="6"/>
  <c r="O26" i="5"/>
  <c r="O18" i="5"/>
  <c r="O10" i="5"/>
  <c r="K3" i="5"/>
  <c r="K4" i="5"/>
  <c r="K5" i="5"/>
  <c r="K6" i="5"/>
  <c r="K7" i="5"/>
  <c r="K8" i="5"/>
  <c r="K9" i="5"/>
  <c r="K3" i="4"/>
  <c r="O26" i="4"/>
  <c r="O18" i="4"/>
  <c r="O10" i="4"/>
  <c r="O14" i="3"/>
  <c r="O9" i="3"/>
  <c r="P14" i="3"/>
  <c r="O26" i="3"/>
  <c r="O29" i="3"/>
  <c r="O33" i="6"/>
  <c r="O9" i="1"/>
  <c r="O5" i="1"/>
  <c r="O6" i="1" s="1"/>
  <c r="O3" i="1"/>
  <c r="O21" i="1"/>
  <c r="P21" i="1" s="1"/>
  <c r="O18" i="1"/>
  <c r="P18" i="1" s="1"/>
  <c r="P12" i="1"/>
  <c r="P7" i="1"/>
  <c r="P9" i="1"/>
  <c r="M26" i="4"/>
  <c r="K7" i="3"/>
  <c r="J3" i="1"/>
  <c r="L3" i="1"/>
  <c r="N30" i="6"/>
  <c r="N29" i="6"/>
  <c r="N28" i="6"/>
  <c r="N6" i="6"/>
  <c r="M30" i="6"/>
  <c r="M29" i="6"/>
  <c r="M28" i="6"/>
  <c r="N33" i="6"/>
  <c r="P33" i="6"/>
  <c r="M33" i="6"/>
  <c r="N28" i="7"/>
  <c r="N29" i="7"/>
  <c r="N30" i="7"/>
  <c r="N24" i="3"/>
  <c r="N26" i="3"/>
  <c r="P26" i="3"/>
  <c r="P29" i="3"/>
  <c r="N29" i="3"/>
  <c r="N32" i="7"/>
  <c r="N26" i="7"/>
  <c r="N21" i="7"/>
  <c r="N16" i="7"/>
  <c r="N11" i="7"/>
  <c r="N6" i="7"/>
  <c r="N26" i="6"/>
  <c r="N21" i="6"/>
  <c r="N16" i="6"/>
  <c r="N11" i="6"/>
  <c r="N26" i="5"/>
  <c r="N18" i="5"/>
  <c r="N10" i="5"/>
  <c r="N10" i="4"/>
  <c r="N18" i="4"/>
  <c r="N26" i="4"/>
  <c r="N3" i="1"/>
  <c r="N5" i="1"/>
  <c r="N6" i="1" s="1"/>
  <c r="N9" i="1"/>
  <c r="N19" i="1"/>
  <c r="M30" i="7"/>
  <c r="M29" i="7"/>
  <c r="M28" i="7"/>
  <c r="M26" i="7"/>
  <c r="M21" i="7"/>
  <c r="M16" i="7"/>
  <c r="M11" i="7"/>
  <c r="M6" i="7"/>
  <c r="M6" i="6"/>
  <c r="M11" i="6"/>
  <c r="M16" i="6"/>
  <c r="M21" i="6"/>
  <c r="M26" i="6"/>
  <c r="M10" i="5"/>
  <c r="M18" i="5"/>
  <c r="M26" i="5"/>
  <c r="M10" i="4"/>
  <c r="M18" i="4"/>
  <c r="M29" i="3"/>
  <c r="P24" i="3"/>
  <c r="P9" i="3"/>
  <c r="K9" i="3"/>
  <c r="M5" i="1"/>
  <c r="M9" i="1"/>
  <c r="M3" i="1"/>
  <c r="M19" i="1"/>
  <c r="K2" i="1"/>
  <c r="F2" i="1"/>
  <c r="F3" i="1" s="1"/>
  <c r="F6" i="6"/>
  <c r="F11" i="6"/>
  <c r="F16" i="6"/>
  <c r="F21" i="6"/>
  <c r="F26" i="6"/>
  <c r="F3" i="5"/>
  <c r="F4" i="5"/>
  <c r="F5" i="5"/>
  <c r="F6" i="5"/>
  <c r="F7" i="5"/>
  <c r="F8" i="5"/>
  <c r="E6" i="6"/>
  <c r="E11" i="6"/>
  <c r="E16" i="6"/>
  <c r="E21" i="6"/>
  <c r="E26" i="6"/>
  <c r="E10" i="5"/>
  <c r="D6" i="6"/>
  <c r="D11" i="6"/>
  <c r="D16" i="6"/>
  <c r="D21" i="6"/>
  <c r="D26" i="6"/>
  <c r="D10" i="5"/>
  <c r="C6" i="6"/>
  <c r="C11" i="6"/>
  <c r="C16" i="6"/>
  <c r="C21" i="6"/>
  <c r="C26" i="6"/>
  <c r="C10" i="5"/>
  <c r="B6" i="6"/>
  <c r="B11" i="6"/>
  <c r="B16" i="6"/>
  <c r="B21" i="6"/>
  <c r="B26" i="6"/>
  <c r="B10" i="5"/>
  <c r="F19" i="3"/>
  <c r="L10" i="5"/>
  <c r="G6" i="7"/>
  <c r="J6" i="7"/>
  <c r="K12" i="4"/>
  <c r="E11" i="7"/>
  <c r="F13" i="4"/>
  <c r="C16" i="7"/>
  <c r="F14" i="4"/>
  <c r="F16" i="7"/>
  <c r="G16" i="7"/>
  <c r="K14" i="4"/>
  <c r="K16" i="7"/>
  <c r="D21" i="7"/>
  <c r="E21" i="7"/>
  <c r="F15" i="4"/>
  <c r="I21" i="7"/>
  <c r="K15" i="4"/>
  <c r="L21" i="7"/>
  <c r="C26" i="7"/>
  <c r="F16" i="4"/>
  <c r="G26" i="7"/>
  <c r="J26" i="7"/>
  <c r="K16" i="4"/>
  <c r="K26" i="7"/>
  <c r="F17" i="4"/>
  <c r="K17" i="4"/>
  <c r="C18" i="4"/>
  <c r="C28" i="7"/>
  <c r="C29" i="7"/>
  <c r="D18" i="4"/>
  <c r="E18" i="4"/>
  <c r="L18" i="4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F21" i="7"/>
  <c r="G21" i="7"/>
  <c r="H21" i="7"/>
  <c r="J21" i="7"/>
  <c r="K21" i="7"/>
  <c r="D26" i="7"/>
  <c r="E26" i="7"/>
  <c r="F26" i="7"/>
  <c r="H26" i="7"/>
  <c r="I26" i="7"/>
  <c r="L26" i="7"/>
  <c r="D28" i="7"/>
  <c r="D29" i="7"/>
  <c r="D30" i="7"/>
  <c r="L28" i="7"/>
  <c r="P28" i="7"/>
  <c r="L29" i="7"/>
  <c r="P29" i="7"/>
  <c r="L30" i="7"/>
  <c r="P30" i="7"/>
  <c r="B28" i="7"/>
  <c r="B29" i="7"/>
  <c r="B30" i="7"/>
  <c r="B18" i="4"/>
  <c r="B26" i="7"/>
  <c r="B21" i="7"/>
  <c r="B16" i="7"/>
  <c r="B11" i="7"/>
  <c r="B6" i="7"/>
  <c r="F3" i="4"/>
  <c r="H6" i="6"/>
  <c r="I6" i="6"/>
  <c r="F4" i="4"/>
  <c r="L11" i="6"/>
  <c r="F5" i="4"/>
  <c r="G16" i="6"/>
  <c r="H16" i="6"/>
  <c r="I16" i="6"/>
  <c r="J16" i="6"/>
  <c r="K16" i="6"/>
  <c r="K5" i="4"/>
  <c r="L16" i="6"/>
  <c r="F6" i="4"/>
  <c r="G21" i="6"/>
  <c r="I21" i="6"/>
  <c r="J21" i="6"/>
  <c r="L21" i="6"/>
  <c r="F7" i="4"/>
  <c r="G26" i="6"/>
  <c r="H26" i="6"/>
  <c r="I26" i="6"/>
  <c r="J26" i="6"/>
  <c r="K7" i="4"/>
  <c r="K26" i="6"/>
  <c r="L26" i="6"/>
  <c r="F8" i="4"/>
  <c r="C28" i="6"/>
  <c r="C29" i="6"/>
  <c r="C30" i="6"/>
  <c r="C10" i="4"/>
  <c r="D28" i="6"/>
  <c r="D29" i="6"/>
  <c r="D30" i="6"/>
  <c r="D10" i="4"/>
  <c r="E28" i="6"/>
  <c r="E29" i="6"/>
  <c r="E30" i="6"/>
  <c r="E10" i="4"/>
  <c r="F28" i="6"/>
  <c r="F29" i="6"/>
  <c r="F30" i="6"/>
  <c r="B10" i="4"/>
  <c r="K6" i="4"/>
  <c r="L10" i="4"/>
  <c r="C18" i="5"/>
  <c r="D18" i="5"/>
  <c r="E18" i="5"/>
  <c r="F12" i="5"/>
  <c r="F13" i="5"/>
  <c r="F14" i="5"/>
  <c r="F15" i="5"/>
  <c r="F16" i="5"/>
  <c r="F17" i="5"/>
  <c r="F4" i="1"/>
  <c r="L18" i="5"/>
  <c r="C5" i="1"/>
  <c r="C6" i="1" s="1"/>
  <c r="D5" i="1"/>
  <c r="D10" i="1" s="1"/>
  <c r="D9" i="1"/>
  <c r="E5" i="1"/>
  <c r="E6" i="1"/>
  <c r="L9" i="1"/>
  <c r="L10" i="1"/>
  <c r="L24" i="1" s="1"/>
  <c r="L26" i="1" s="1"/>
  <c r="L27" i="1" s="1"/>
  <c r="C26" i="5"/>
  <c r="C9" i="1"/>
  <c r="D26" i="5"/>
  <c r="E26" i="5"/>
  <c r="F20" i="5"/>
  <c r="F21" i="5"/>
  <c r="F22" i="5"/>
  <c r="F23" i="5"/>
  <c r="F24" i="5"/>
  <c r="F25" i="5"/>
  <c r="F7" i="1"/>
  <c r="F8" i="1"/>
  <c r="F25" i="1"/>
  <c r="G26" i="5"/>
  <c r="H26" i="5"/>
  <c r="I26" i="5"/>
  <c r="J26" i="5"/>
  <c r="J5" i="1"/>
  <c r="J6" i="1" s="1"/>
  <c r="J9" i="1"/>
  <c r="K20" i="5"/>
  <c r="K21" i="5"/>
  <c r="K22" i="5"/>
  <c r="K23" i="5"/>
  <c r="K24" i="5"/>
  <c r="K25" i="5"/>
  <c r="L26" i="5"/>
  <c r="E9" i="1"/>
  <c r="G5" i="1"/>
  <c r="G6" i="1" s="1"/>
  <c r="G9" i="1"/>
  <c r="H5" i="1"/>
  <c r="H9" i="1"/>
  <c r="I5" i="1"/>
  <c r="I9" i="1"/>
  <c r="B26" i="5"/>
  <c r="B5" i="1"/>
  <c r="B10" i="1" s="1"/>
  <c r="B9" i="1"/>
  <c r="B18" i="5"/>
  <c r="C26" i="4"/>
  <c r="D26" i="4"/>
  <c r="E26" i="4"/>
  <c r="F20" i="4"/>
  <c r="F21" i="4"/>
  <c r="F22" i="4"/>
  <c r="F23" i="4"/>
  <c r="F24" i="4"/>
  <c r="F25" i="4"/>
  <c r="G26" i="4"/>
  <c r="H26" i="4"/>
  <c r="I26" i="4"/>
  <c r="J26" i="4"/>
  <c r="K20" i="4"/>
  <c r="K21" i="4"/>
  <c r="K22" i="4"/>
  <c r="K23" i="4"/>
  <c r="K24" i="4"/>
  <c r="K25" i="4"/>
  <c r="L26" i="4"/>
  <c r="B26" i="4"/>
  <c r="K21" i="3"/>
  <c r="F23" i="3"/>
  <c r="K23" i="3"/>
  <c r="K20" i="3"/>
  <c r="K19" i="3"/>
  <c r="L19" i="1"/>
  <c r="J19" i="1"/>
  <c r="I19" i="1"/>
  <c r="H19" i="1"/>
  <c r="G19" i="1"/>
  <c r="E19" i="1"/>
  <c r="D19" i="1"/>
  <c r="C19" i="1"/>
  <c r="B19" i="1"/>
  <c r="K26" i="3"/>
  <c r="K27" i="3"/>
  <c r="K28" i="3"/>
  <c r="F26" i="3"/>
  <c r="F27" i="3"/>
  <c r="F28" i="3"/>
  <c r="I28" i="7"/>
  <c r="H29" i="7"/>
  <c r="G30" i="7"/>
  <c r="J11" i="7"/>
  <c r="H28" i="7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H11" i="6"/>
  <c r="J30" i="6"/>
  <c r="K11" i="7"/>
  <c r="G29" i="6"/>
  <c r="H29" i="6"/>
  <c r="G30" i="6"/>
  <c r="J11" i="6"/>
  <c r="H21" i="6"/>
  <c r="L6" i="6"/>
  <c r="J29" i="6"/>
  <c r="I30" i="6"/>
  <c r="H30" i="6"/>
  <c r="I29" i="6"/>
  <c r="G11" i="6"/>
  <c r="I11" i="6"/>
  <c r="K29" i="6"/>
  <c r="K11" i="6"/>
  <c r="K30" i="6"/>
  <c r="K21" i="6"/>
  <c r="G18" i="5"/>
  <c r="H18" i="5"/>
  <c r="I18" i="5"/>
  <c r="J18" i="5"/>
  <c r="G10" i="5"/>
  <c r="H10" i="5"/>
  <c r="I10" i="5"/>
  <c r="J10" i="5"/>
  <c r="K17" i="5"/>
  <c r="K16" i="5"/>
  <c r="K15" i="5"/>
  <c r="K14" i="5"/>
  <c r="K13" i="5"/>
  <c r="K12" i="5"/>
  <c r="G18" i="4"/>
  <c r="H18" i="4"/>
  <c r="I18" i="4"/>
  <c r="J18" i="4"/>
  <c r="G10" i="4"/>
  <c r="H10" i="4"/>
  <c r="I10" i="4"/>
  <c r="J10" i="4"/>
  <c r="K13" i="4"/>
  <c r="K9" i="4"/>
  <c r="K8" i="4"/>
  <c r="K4" i="4"/>
  <c r="K18" i="3"/>
  <c r="K22" i="3"/>
  <c r="K24" i="3"/>
  <c r="K17" i="3"/>
  <c r="F18" i="3"/>
  <c r="F20" i="3"/>
  <c r="F21" i="3"/>
  <c r="F22" i="3"/>
  <c r="F24" i="3"/>
  <c r="F17" i="3"/>
  <c r="K14" i="3"/>
  <c r="K13" i="3"/>
  <c r="F13" i="3"/>
  <c r="F14" i="3"/>
  <c r="K4" i="3"/>
  <c r="K5" i="3"/>
  <c r="K6" i="3"/>
  <c r="K8" i="3"/>
  <c r="K3" i="3"/>
  <c r="F4" i="3"/>
  <c r="F5" i="3"/>
  <c r="F6" i="3"/>
  <c r="F7" i="3"/>
  <c r="F8" i="3"/>
  <c r="F9" i="3"/>
  <c r="F3" i="3"/>
  <c r="H3" i="1"/>
  <c r="I3" i="1"/>
  <c r="G3" i="1"/>
  <c r="K25" i="1"/>
  <c r="K18" i="1"/>
  <c r="K17" i="1"/>
  <c r="K19" i="1" s="1"/>
  <c r="K14" i="1"/>
  <c r="K13" i="1"/>
  <c r="K12" i="1"/>
  <c r="K8" i="1"/>
  <c r="K7" i="1"/>
  <c r="K9" i="1" s="1"/>
  <c r="K10" i="1" s="1"/>
  <c r="K4" i="1"/>
  <c r="F21" i="1"/>
  <c r="F18" i="1"/>
  <c r="F17" i="1"/>
  <c r="F14" i="1"/>
  <c r="F13" i="1"/>
  <c r="F12" i="1"/>
  <c r="E10" i="1"/>
  <c r="E15" i="1" s="1"/>
  <c r="H6" i="1"/>
  <c r="M10" i="1"/>
  <c r="M24" i="1" s="1"/>
  <c r="M26" i="1" s="1"/>
  <c r="M27" i="1" s="1"/>
  <c r="E24" i="1"/>
  <c r="E26" i="1" s="1"/>
  <c r="E27" i="1" s="1"/>
  <c r="E11" i="1"/>
  <c r="F9" i="1"/>
  <c r="F5" i="1"/>
  <c r="F10" i="1"/>
  <c r="F24" i="1" s="1"/>
  <c r="F26" i="1" s="1"/>
  <c r="F27" i="1" s="1"/>
  <c r="I10" i="1"/>
  <c r="I15" i="1" s="1"/>
  <c r="K5" i="1"/>
  <c r="K6" i="1" s="1"/>
  <c r="P32" i="7"/>
  <c r="M6" i="1"/>
  <c r="G10" i="1"/>
  <c r="G24" i="1" s="1"/>
  <c r="G26" i="1" s="1"/>
  <c r="G27" i="1" s="1"/>
  <c r="K28" i="7"/>
  <c r="F18" i="4"/>
  <c r="C10" i="1"/>
  <c r="C15" i="1" s="1"/>
  <c r="I6" i="1"/>
  <c r="K18" i="4"/>
  <c r="F6" i="1"/>
  <c r="C24" i="1"/>
  <c r="C26" i="1" s="1"/>
  <c r="C27" i="1" s="1"/>
  <c r="C11" i="1"/>
  <c r="L15" i="1"/>
  <c r="L16" i="1" s="1"/>
  <c r="L11" i="1"/>
  <c r="K26" i="4"/>
  <c r="J10" i="1"/>
  <c r="F33" i="6"/>
  <c r="F10" i="4"/>
  <c r="M32" i="7"/>
  <c r="K33" i="6"/>
  <c r="K26" i="5"/>
  <c r="F10" i="5"/>
  <c r="P3" i="1"/>
  <c r="K3" i="1"/>
  <c r="K10" i="4"/>
  <c r="G32" i="7"/>
  <c r="F26" i="5"/>
  <c r="K18" i="5"/>
  <c r="F18" i="5"/>
  <c r="K10" i="5"/>
  <c r="F26" i="4"/>
  <c r="D33" i="6"/>
  <c r="L32" i="7"/>
  <c r="H32" i="7"/>
  <c r="D32" i="7"/>
  <c r="F28" i="7"/>
  <c r="F29" i="7"/>
  <c r="E32" i="7"/>
  <c r="K30" i="7"/>
  <c r="B32" i="7"/>
  <c r="K29" i="7"/>
  <c r="K32" i="7"/>
  <c r="I32" i="7"/>
  <c r="J32" i="7"/>
  <c r="I33" i="6"/>
  <c r="J33" i="6"/>
  <c r="C33" i="6"/>
  <c r="E33" i="6"/>
  <c r="G33" i="6"/>
  <c r="H33" i="6"/>
  <c r="F29" i="3"/>
  <c r="K29" i="3"/>
  <c r="M11" i="1"/>
  <c r="M15" i="1"/>
  <c r="M16" i="1" s="1"/>
  <c r="G11" i="1"/>
  <c r="F15" i="1"/>
  <c r="F16" i="1" s="1"/>
  <c r="J11" i="1"/>
  <c r="J24" i="1"/>
  <c r="J26" i="1" s="1"/>
  <c r="J27" i="1" s="1"/>
  <c r="J15" i="1"/>
  <c r="F5" i="7"/>
  <c r="F6" i="7"/>
  <c r="C6" i="7"/>
  <c r="C30" i="7"/>
  <c r="F30" i="7"/>
  <c r="F32" i="7"/>
  <c r="C32" i="7"/>
  <c r="J16" i="9" l="1"/>
  <c r="J23" i="9" s="1"/>
  <c r="C46" i="9"/>
  <c r="C47" i="9" s="1"/>
  <c r="K30" i="9"/>
  <c r="E20" i="1"/>
  <c r="E22" i="1" s="1"/>
  <c r="E16" i="1"/>
  <c r="L20" i="1"/>
  <c r="L22" i="1" s="1"/>
  <c r="H10" i="1"/>
  <c r="O19" i="1"/>
  <c r="M20" i="1"/>
  <c r="M22" i="1" s="1"/>
  <c r="O10" i="1"/>
  <c r="S10" i="1"/>
  <c r="S24" i="1" s="1"/>
  <c r="S26" i="1" s="1"/>
  <c r="S27" i="1" s="1"/>
  <c r="J20" i="1"/>
  <c r="J22" i="1" s="1"/>
  <c r="F19" i="1"/>
  <c r="N10" i="1"/>
  <c r="Q19" i="1"/>
  <c r="U19" i="1" s="1"/>
  <c r="F46" i="9"/>
  <c r="F47" i="9" s="1"/>
  <c r="I46" i="9"/>
  <c r="I47" i="9" s="1"/>
  <c r="M46" i="9"/>
  <c r="M47" i="9" s="1"/>
  <c r="K16" i="9"/>
  <c r="K23" i="9" s="1"/>
  <c r="B46" i="9"/>
  <c r="E46" i="9"/>
  <c r="E47" i="9" s="1"/>
  <c r="D16" i="9"/>
  <c r="K32" i="9"/>
  <c r="K47" i="9" s="1"/>
  <c r="L46" i="9"/>
  <c r="L47" i="9" s="1"/>
  <c r="C16" i="9"/>
  <c r="C23" i="9" s="1"/>
  <c r="M23" i="9"/>
  <c r="G46" i="9"/>
  <c r="G47" i="9" s="1"/>
  <c r="B23" i="9"/>
  <c r="K46" i="9"/>
  <c r="D23" i="9"/>
  <c r="D46" i="9"/>
  <c r="D47" i="9" s="1"/>
  <c r="G16" i="9"/>
  <c r="G23" i="9" s="1"/>
  <c r="I23" i="9"/>
  <c r="F16" i="9"/>
  <c r="F23" i="9" s="1"/>
  <c r="B47" i="9"/>
  <c r="E16" i="9"/>
  <c r="E23" i="9" s="1"/>
  <c r="L16" i="9"/>
  <c r="L23" i="9" s="1"/>
  <c r="H47" i="9"/>
  <c r="J47" i="9"/>
  <c r="S15" i="1"/>
  <c r="D24" i="1"/>
  <c r="D26" i="1" s="1"/>
  <c r="D27" i="1" s="1"/>
  <c r="D11" i="1"/>
  <c r="D15" i="1"/>
  <c r="C20" i="1"/>
  <c r="C22" i="1" s="1"/>
  <c r="C16" i="1"/>
  <c r="N15" i="1"/>
  <c r="N16" i="1" s="1"/>
  <c r="N11" i="1"/>
  <c r="N24" i="1"/>
  <c r="N26" i="1" s="1"/>
  <c r="N27" i="1" s="1"/>
  <c r="R11" i="1"/>
  <c r="R15" i="1"/>
  <c r="R24" i="1"/>
  <c r="R26" i="1" s="1"/>
  <c r="R27" i="1" s="1"/>
  <c r="I16" i="1"/>
  <c r="I20" i="1"/>
  <c r="I22" i="1" s="1"/>
  <c r="B15" i="1"/>
  <c r="B24" i="1"/>
  <c r="B26" i="1" s="1"/>
  <c r="B27" i="1" s="1"/>
  <c r="B11" i="1"/>
  <c r="H15" i="1"/>
  <c r="H24" i="1"/>
  <c r="H26" i="1" s="1"/>
  <c r="H27" i="1" s="1"/>
  <c r="H11" i="1"/>
  <c r="K11" i="1"/>
  <c r="K15" i="1"/>
  <c r="K24" i="1"/>
  <c r="K26" i="1" s="1"/>
  <c r="K27" i="1" s="1"/>
  <c r="F11" i="1"/>
  <c r="I24" i="1"/>
  <c r="I26" i="1" s="1"/>
  <c r="I27" i="1" s="1"/>
  <c r="P5" i="1"/>
  <c r="Q9" i="1"/>
  <c r="U9" i="1" s="1"/>
  <c r="D6" i="1"/>
  <c r="B6" i="1"/>
  <c r="R6" i="1"/>
  <c r="J16" i="1"/>
  <c r="G15" i="1"/>
  <c r="I11" i="1"/>
  <c r="S6" i="1"/>
  <c r="F20" i="1"/>
  <c r="F22" i="1" s="1"/>
  <c r="Q5" i="1"/>
  <c r="Q26" i="3"/>
  <c r="Q29" i="3" s="1"/>
  <c r="R27" i="3" s="1"/>
  <c r="P26" i="5"/>
  <c r="U33" i="6"/>
  <c r="U9" i="3"/>
  <c r="U24" i="3"/>
  <c r="R26" i="3"/>
  <c r="P19" i="1"/>
  <c r="T15" i="1"/>
  <c r="T24" i="1"/>
  <c r="T11" i="1"/>
  <c r="S33" i="6"/>
  <c r="S11" i="1" l="1"/>
  <c r="O11" i="1"/>
  <c r="O15" i="1"/>
  <c r="O24" i="1"/>
  <c r="O26" i="1" s="1"/>
  <c r="O27" i="1" s="1"/>
  <c r="N20" i="1"/>
  <c r="N22" i="1" s="1"/>
  <c r="B16" i="1"/>
  <c r="B20" i="1"/>
  <c r="B22" i="1" s="1"/>
  <c r="U5" i="1"/>
  <c r="U6" i="1" s="1"/>
  <c r="Q6" i="1"/>
  <c r="Q10" i="1"/>
  <c r="K16" i="1"/>
  <c r="K20" i="1"/>
  <c r="K22" i="1" s="1"/>
  <c r="G16" i="1"/>
  <c r="G20" i="1"/>
  <c r="G22" i="1" s="1"/>
  <c r="S20" i="1"/>
  <c r="S22" i="1" s="1"/>
  <c r="S16" i="1"/>
  <c r="D16" i="1"/>
  <c r="D20" i="1"/>
  <c r="D22" i="1" s="1"/>
  <c r="R16" i="1"/>
  <c r="R20" i="1"/>
  <c r="R22" i="1" s="1"/>
  <c r="P6" i="1"/>
  <c r="P10" i="1"/>
  <c r="H16" i="1"/>
  <c r="H20" i="1"/>
  <c r="H22" i="1" s="1"/>
  <c r="R29" i="3"/>
  <c r="S27" i="3" s="1"/>
  <c r="S29" i="3" s="1"/>
  <c r="T27" i="3" s="1"/>
  <c r="T29" i="3" s="1"/>
  <c r="U26" i="3"/>
  <c r="U29" i="3" s="1"/>
  <c r="V27" i="3" s="1"/>
  <c r="V29" i="3" s="1"/>
  <c r="T26" i="1"/>
  <c r="T27" i="1" s="1"/>
  <c r="T16" i="1"/>
  <c r="T20" i="1"/>
  <c r="O20" i="1" l="1"/>
  <c r="O22" i="1" s="1"/>
  <c r="O16" i="1"/>
  <c r="Q15" i="1"/>
  <c r="Q24" i="1"/>
  <c r="Q11" i="1"/>
  <c r="U10" i="1"/>
  <c r="U11" i="1" s="1"/>
  <c r="P11" i="1"/>
  <c r="P24" i="1"/>
  <c r="P26" i="1" s="1"/>
  <c r="P27" i="1" s="1"/>
  <c r="P15" i="1"/>
  <c r="T22" i="1"/>
  <c r="P16" i="1" l="1"/>
  <c r="P20" i="1"/>
  <c r="P22" i="1" s="1"/>
  <c r="Q26" i="1"/>
  <c r="U24" i="1"/>
  <c r="Q16" i="1"/>
  <c r="Q20" i="1"/>
  <c r="U15" i="1"/>
  <c r="U16" i="1" s="1"/>
  <c r="Q22" i="1" l="1"/>
  <c r="U22" i="1" s="1"/>
  <c r="U20" i="1"/>
  <c r="Q27" i="1"/>
  <c r="U26" i="1"/>
  <c r="U27" i="1" s="1"/>
</calcChain>
</file>

<file path=xl/sharedStrings.xml><?xml version="1.0" encoding="utf-8"?>
<sst xmlns="http://schemas.openxmlformats.org/spreadsheetml/2006/main" count="367" uniqueCount="156">
  <si>
    <t>NOK (Millions)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</si>
  <si>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</si>
  <si>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</si>
  <si>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</si>
  <si>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</si>
  <si>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</si>
  <si>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</si>
  <si>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</si>
  <si>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</si>
  <si>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</si>
  <si>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</si>
  <si>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</si>
  <si>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</si>
  <si>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</si>
  <si>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</si>
  <si>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</si>
  <si>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</si>
  <si>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Operating revenue</t>
  </si>
  <si>
    <t>Growth</t>
  </si>
  <si>
    <t>Cost of sales</t>
  </si>
  <si>
    <t>Gross profit</t>
  </si>
  <si>
    <t>Gross margin</t>
  </si>
  <si>
    <t>Payroll and related costs</t>
  </si>
  <si>
    <t>Other operating expenses</t>
  </si>
  <si>
    <t>Total operating expenses</t>
  </si>
  <si>
    <t>EBITDA</t>
  </si>
  <si>
    <t>EBITDA margin</t>
  </si>
  <si>
    <t>Depreciation</t>
  </si>
  <si>
    <t>Amortisation</t>
  </si>
  <si>
    <t>Goodwill impairment</t>
  </si>
  <si>
    <t>EBIT</t>
  </si>
  <si>
    <t>EBIT margin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</si>
  <si>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</si>
  <si>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</si>
  <si>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</si>
  <si>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</si>
  <si>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</si>
  <si>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</si>
  <si>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Adjusted EBITDA reconciliation</t>
  </si>
  <si>
    <t>Reported EBITDA</t>
  </si>
  <si>
    <t>Adjusted items</t>
  </si>
  <si>
    <t>Adjusted EBITDA</t>
  </si>
  <si>
    <t>Adj. EBITDA % of gross profit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</si>
  <si>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</si>
  <si>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</si>
  <si>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</si>
  <si>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</si>
  <si>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</si>
  <si>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</si>
  <si>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</si>
  <si>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</si>
  <si>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</si>
  <si>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</si>
  <si>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</si>
  <si>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</si>
  <si>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Other long-term receivables</t>
  </si>
  <si>
    <t>Total non-current assets</t>
  </si>
  <si>
    <t>Inventory</t>
  </si>
  <si>
    <t>Accounts receivable</t>
  </si>
  <si>
    <t>Other receivables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</si>
  <si>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</si>
  <si>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</si>
  <si>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</si>
  <si>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</si>
  <si>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</si>
  <si>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</si>
  <si>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</si>
  <si>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</si>
  <si>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</si>
  <si>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</si>
  <si>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</si>
  <si>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</si>
  <si>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Bond loan</t>
  </si>
  <si>
    <t>Derivative financial liabilities</t>
  </si>
  <si>
    <t>Deferred tax liabilities</t>
  </si>
  <si>
    <t>Lease liabilities</t>
  </si>
  <si>
    <t>Other long-term liabilities</t>
  </si>
  <si>
    <t>Total long-term liabilities</t>
  </si>
  <si>
    <t>Accounts payable</t>
  </si>
  <si>
    <t>Income taxes payable</t>
  </si>
  <si>
    <t>Public duties</t>
  </si>
  <si>
    <t>Current lease liabilities</t>
  </si>
  <si>
    <t>Other short-term interest bearing debt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</si>
  <si>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</si>
  <si>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</si>
  <si>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</si>
  <si>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</si>
  <si>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</si>
  <si>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</si>
  <si>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 and amortisation</t>
  </si>
  <si>
    <t>Net interest to credit institutions and interest to bond loan</t>
  </si>
  <si>
    <t>Changes in inventory, accounts receivable/payable</t>
  </si>
  <si>
    <t>Changes in other current assets</t>
  </si>
  <si>
    <t>Net cash flow from operating activities</t>
  </si>
  <si>
    <t>Cash flow from investing activities</t>
  </si>
  <si>
    <t>Acquisition of assets</t>
  </si>
  <si>
    <t>Net cash flow from investing activities</t>
  </si>
  <si>
    <t>Cash flow from financing activities</t>
  </si>
  <si>
    <t>Net interest paid to credit institutions and interest to bond loan</t>
  </si>
  <si>
    <t>New equity</t>
  </si>
  <si>
    <t>Acquistion of non-controlling interests</t>
  </si>
  <si>
    <t>Proceeds from issuance of interest bearing debt</t>
  </si>
  <si>
    <t>Repayment of interest-bearing debt</t>
  </si>
  <si>
    <t>Change in other long-term debt</t>
  </si>
  <si>
    <t>Purchase of own shares</t>
  </si>
  <si>
    <t>Net cash (used in) provided by financing activities</t>
  </si>
  <si>
    <t>Net increase (decrease) in cash and cash equivalents</t>
  </si>
  <si>
    <t>Cash and cash equivalents at beginning of period</t>
  </si>
  <si>
    <t>Currency translation on cash and cash equivalents</t>
  </si>
  <si>
    <t>Cash and cash equivalents at end of period</t>
  </si>
  <si>
    <t>Operating Revenue</t>
  </si>
  <si>
    <t>Nordics</t>
  </si>
  <si>
    <t>Europe</t>
  </si>
  <si>
    <t>APAC &amp; MEA</t>
  </si>
  <si>
    <t>US</t>
  </si>
  <si>
    <t>HQ</t>
  </si>
  <si>
    <t>Eliminations</t>
  </si>
  <si>
    <t>Adjustments</t>
  </si>
  <si>
    <t>Total Operating Revenue</t>
  </si>
  <si>
    <t>Total gross profit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</si>
  <si>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</si>
  <si>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</si>
  <si>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</si>
  <si>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</si>
  <si>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</si>
  <si>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</si>
  <si>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</si>
  <si>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</si>
  <si>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</si>
  <si>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</si>
  <si>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</si>
  <si>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</si>
  <si>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</si>
  <si>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Adjustment</t>
  </si>
  <si>
    <t>Group revenue</t>
  </si>
  <si>
    <t>elim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</si>
  <si>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</si>
  <si>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</si>
  <si>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</si>
  <si>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</si>
  <si>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</si>
  <si>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</si>
  <si>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Growth Markets GP</t>
  </si>
  <si>
    <t>Start-Ups GP</t>
  </si>
  <si>
    <t>USA GP</t>
  </si>
  <si>
    <t>HQ GP</t>
  </si>
  <si>
    <t>Group GP</t>
  </si>
  <si>
    <t>Nordic Markets GP</t>
  </si>
  <si>
    <t>Q1 2021</t>
  </si>
  <si>
    <t>Q2 2021</t>
  </si>
  <si>
    <t>Q3 2021</t>
  </si>
  <si>
    <t>Short term deposits</t>
  </si>
  <si>
    <t>Acquisition of subsidiaries - (net of cash acquired) and associated companies</t>
  </si>
  <si>
    <t>Investment in associated companies</t>
  </si>
  <si>
    <t>Total investment in associated companies</t>
  </si>
  <si>
    <t>Q4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</si>
</sst>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-* #,##0.00_-;\-* #,##0.00_-;_-* &quot;-&quot;??_-;_-@_-"/>
    <numFmt numFmtId="166" formatCode="0.0"/>
    <numFmt numFmtId="167" formatCode="0.0\ %"/>
    <numFmt numFmtId="168" formatCode="_ * #,##0.0_ ;_ * \-#,##0.0_ ;_ * &quot;-&quot;??_ ;_ @_ "/>
    <numFmt numFmtId="169" formatCode="_ * #,##0_ ;_ * \-#,##0_ ;_ * &quot;-&quot;??_ ;_ @_ "/>
    <numFmt numFmtId="170" formatCode="_ * #,##0.0_ ;_ * \-#,##0.0_ ;_ * &quot;-&quot;?_ ;_ @_ "/>
    <numFmt numFmtId="171" formatCode="_ * #,##0.000_ ;_ * \-#,##0.0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D7E6EC"/>
        <bgColor indexed="64"/>
      </patternFill>
    </fill>
    <fill>
      <patternFill patternType="solid">
        <fgColor rgb="FF86C3EA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8" borderId="0" applyNumberFormat="0" applyBorder="0" applyAlignment="0" applyProtection="0"/>
    <xf numFmtId="0" fontId="18" fillId="12" borderId="0" applyNumberFormat="0" applyBorder="0" applyAlignment="0" applyProtection="0"/>
    <xf numFmtId="0" fontId="18" fillId="20" borderId="0" applyNumberFormat="0" applyBorder="0" applyAlignment="0" applyProtection="0"/>
    <xf numFmtId="0" fontId="18" fillId="22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2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9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9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2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2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31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7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24" borderId="0" applyNumberFormat="0" applyBorder="0" applyAlignment="0" applyProtection="0"/>
    <xf numFmtId="0" fontId="19" fillId="30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8" fillId="16" borderId="15" applyNumberFormat="0" applyFont="0" applyAlignment="0" applyProtection="0"/>
    <xf numFmtId="3" fontId="20" fillId="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3" fillId="15" borderId="0" applyNumberFormat="0" applyBorder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2" fillId="20" borderId="16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0" fontId="24" fillId="32" borderId="17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00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5" borderId="10" xfId="0" applyFont="1" applyFill="1" applyBorder="1" applyAlignment="1">
      <alignment horizontal="left" readingOrder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6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8" fontId="5" fillId="0" borderId="4" xfId="1" applyNumberFormat="1" applyFont="1" applyBorder="1" applyAlignment="1">
      <alignment horizontal="right" readingOrder="1"/>
    </xf>
    <xf numFmtId="168" fontId="5" fillId="0" borderId="10" xfId="1" applyNumberFormat="1" applyFont="1" applyBorder="1" applyAlignment="1">
      <alignment horizontal="right" readingOrder="1"/>
    </xf>
    <xf numFmtId="168" fontId="4" fillId="6" borderId="10" xfId="1" applyNumberFormat="1" applyFont="1" applyFill="1" applyBorder="1" applyAlignment="1">
      <alignment horizontal="right" readingOrder="1"/>
    </xf>
    <xf numFmtId="168" fontId="6" fillId="5" borderId="10" xfId="1" applyNumberFormat="1" applyFont="1" applyFill="1" applyBorder="1" applyAlignment="1">
      <alignment horizontal="right" readingOrder="1"/>
    </xf>
    <xf numFmtId="168" fontId="4" fillId="6" borderId="13" xfId="1" applyNumberFormat="1" applyFont="1" applyFill="1" applyBorder="1" applyAlignment="1">
      <alignment horizontal="right" readingOrder="1"/>
    </xf>
    <xf numFmtId="0" fontId="7" fillId="9" borderId="0" xfId="0" applyFont="1" applyFill="1"/>
    <xf numFmtId="168" fontId="7" fillId="9" borderId="0" xfId="1" applyNumberFormat="1" applyFont="1" applyFill="1"/>
    <xf numFmtId="170" fontId="7" fillId="9" borderId="0" xfId="0" applyNumberFormat="1" applyFont="1" applyFill="1"/>
    <xf numFmtId="0" fontId="0" fillId="9" borderId="0" xfId="0" applyFill="1"/>
    <xf numFmtId="166" fontId="0" fillId="9" borderId="0" xfId="0" applyNumberFormat="1" applyFill="1"/>
    <xf numFmtId="170" fontId="0" fillId="9" borderId="0" xfId="0" applyNumberFormat="1" applyFill="1"/>
    <xf numFmtId="0" fontId="7" fillId="9" borderId="0" xfId="0" applyFont="1" applyFill="1" applyBorder="1"/>
    <xf numFmtId="0" fontId="8" fillId="9" borderId="0" xfId="0" applyFont="1" applyFill="1" applyBorder="1" applyAlignment="1">
      <alignment horizontal="left" readingOrder="1"/>
    </xf>
    <xf numFmtId="168" fontId="8" fillId="9" borderId="0" xfId="1" applyNumberFormat="1" applyFont="1" applyFill="1" applyBorder="1" applyAlignment="1">
      <alignment horizontal="right" readingOrder="1"/>
    </xf>
    <xf numFmtId="0" fontId="3" fillId="2" borderId="8" xfId="0" applyFont="1" applyFill="1" applyBorder="1" applyAlignment="1">
      <alignment horizontal="right" readingOrder="1"/>
    </xf>
    <xf numFmtId="166" fontId="5" fillId="0" borderId="10" xfId="0" applyNumberFormat="1" applyFont="1" applyBorder="1" applyAlignment="1">
      <alignment horizontal="right" readingOrder="1"/>
    </xf>
    <xf numFmtId="166" fontId="4" fillId="6" borderId="10" xfId="0" applyNumberFormat="1" applyFont="1" applyFill="1" applyBorder="1" applyAlignment="1">
      <alignment horizontal="right" readingOrder="1"/>
    </xf>
    <xf numFmtId="0" fontId="2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readingOrder="1"/>
    </xf>
    <xf numFmtId="0" fontId="5" fillId="0" borderId="11" xfId="0" applyFont="1" applyBorder="1" applyAlignment="1">
      <alignment horizontal="right" readingOrder="1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6" fillId="5" borderId="10" xfId="0" applyFont="1" applyFill="1" applyBorder="1" applyAlignment="1">
      <alignment horizontal="right" readingOrder="1"/>
    </xf>
    <xf numFmtId="0" fontId="4" fillId="7" borderId="10" xfId="0" applyFont="1" applyFill="1" applyBorder="1" applyAlignment="1">
      <alignment horizontal="left" readingOrder="1"/>
    </xf>
    <xf numFmtId="166" fontId="4" fillId="7" borderId="10" xfId="0" applyNumberFormat="1" applyFont="1" applyFill="1" applyBorder="1" applyAlignment="1">
      <alignment horizontal="right" readingOrder="1"/>
    </xf>
    <xf numFmtId="0" fontId="4" fillId="6" borderId="12" xfId="0" applyFont="1" applyFill="1" applyBorder="1" applyAlignment="1">
      <alignment horizontal="left" readingOrder="1"/>
    </xf>
    <xf numFmtId="166" fontId="4" fillId="6" borderId="12" xfId="0" applyNumberFormat="1" applyFont="1" applyFill="1" applyBorder="1" applyAlignment="1">
      <alignment horizontal="right" readingOrder="1"/>
    </xf>
    <xf numFmtId="0" fontId="2" fillId="5" borderId="4" xfId="0" applyFont="1" applyFill="1" applyBorder="1" applyAlignment="1">
      <alignment vertical="center"/>
    </xf>
    <xf numFmtId="169" fontId="6" fillId="5" borderId="10" xfId="1" applyNumberFormat="1" applyFont="1" applyFill="1" applyBorder="1" applyAlignment="1">
      <alignment horizontal="left" readingOrder="1"/>
    </xf>
    <xf numFmtId="168" fontId="5" fillId="0" borderId="10" xfId="1" applyNumberFormat="1" applyFont="1" applyBorder="1" applyAlignment="1">
      <alignment horizontal="left" readingOrder="1"/>
    </xf>
    <xf numFmtId="168" fontId="4" fillId="6" borderId="10" xfId="1" applyNumberFormat="1" applyFont="1" applyFill="1" applyBorder="1" applyAlignment="1">
      <alignment horizontal="left" readingOrder="1"/>
    </xf>
    <xf numFmtId="168" fontId="6" fillId="5" borderId="10" xfId="1" applyNumberFormat="1" applyFont="1" applyFill="1" applyBorder="1" applyAlignment="1">
      <alignment horizontal="left" readingOrder="1"/>
    </xf>
    <xf numFmtId="0" fontId="6" fillId="8" borderId="10" xfId="0" applyFont="1" applyFill="1" applyBorder="1" applyAlignment="1">
      <alignment horizontal="left" readingOrder="1"/>
    </xf>
    <xf numFmtId="168" fontId="6" fillId="8" borderId="10" xfId="1" applyNumberFormat="1" applyFont="1" applyFill="1" applyBorder="1" applyAlignment="1">
      <alignment horizontal="left" readingOrder="1"/>
    </xf>
    <xf numFmtId="168" fontId="4" fillId="6" borderId="12" xfId="1" applyNumberFormat="1" applyFont="1" applyFill="1" applyBorder="1" applyAlignment="1">
      <alignment horizontal="right" readingOrder="1"/>
    </xf>
    <xf numFmtId="10" fontId="7" fillId="9" borderId="0" xfId="0" applyNumberFormat="1" applyFont="1" applyFill="1"/>
    <xf numFmtId="0" fontId="9" fillId="9" borderId="0" xfId="0" applyFont="1" applyFill="1"/>
    <xf numFmtId="0" fontId="10" fillId="0" borderId="3" xfId="0" applyFont="1" applyBorder="1" applyAlignment="1">
      <alignment horizontal="left" readingOrder="1"/>
    </xf>
    <xf numFmtId="167" fontId="10" fillId="0" borderId="4" xfId="0" applyNumberFormat="1" applyFont="1" applyBorder="1" applyAlignment="1">
      <alignment horizontal="right" readingOrder="1"/>
    </xf>
    <xf numFmtId="167" fontId="10" fillId="0" borderId="4" xfId="2" applyNumberFormat="1" applyFont="1" applyBorder="1" applyAlignment="1">
      <alignment horizontal="right" readingOrder="1"/>
    </xf>
    <xf numFmtId="168" fontId="10" fillId="0" borderId="4" xfId="1" applyNumberFormat="1" applyFont="1" applyBorder="1" applyAlignment="1">
      <alignment horizontal="right" readingOrder="1"/>
    </xf>
    <xf numFmtId="167" fontId="10" fillId="0" borderId="6" xfId="0" applyNumberFormat="1" applyFont="1" applyBorder="1" applyAlignment="1">
      <alignment horizontal="right" readingOrder="1"/>
    </xf>
    <xf numFmtId="0" fontId="11" fillId="9" borderId="0" xfId="0" applyFont="1" applyFill="1"/>
    <xf numFmtId="168" fontId="0" fillId="9" borderId="0" xfId="0" applyNumberFormat="1" applyFill="1"/>
    <xf numFmtId="168" fontId="7" fillId="9" borderId="0" xfId="0" applyNumberFormat="1" applyFont="1" applyFill="1"/>
    <xf numFmtId="168" fontId="0" fillId="9" borderId="0" xfId="1" applyNumberFormat="1" applyFont="1" applyFill="1"/>
    <xf numFmtId="0" fontId="3" fillId="2" borderId="1" xfId="0" applyFont="1" applyFill="1" applyBorder="1" applyAlignment="1">
      <alignment horizontal="left" readingOrder="1"/>
    </xf>
    <xf numFmtId="0" fontId="3" fillId="2" borderId="2" xfId="0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left" readingOrder="1"/>
    </xf>
    <xf numFmtId="168" fontId="4" fillId="3" borderId="4" xfId="1" applyNumberFormat="1" applyFont="1" applyFill="1" applyBorder="1" applyAlignment="1">
      <alignment horizontal="right" readingOrder="1"/>
    </xf>
    <xf numFmtId="0" fontId="5" fillId="0" borderId="3" xfId="0" applyFont="1" applyBorder="1" applyAlignment="1">
      <alignment horizontal="left" readingOrder="1"/>
    </xf>
    <xf numFmtId="0" fontId="4" fillId="0" borderId="3" xfId="0" applyFont="1" applyBorder="1" applyAlignment="1">
      <alignment horizontal="left" readingOrder="1"/>
    </xf>
    <xf numFmtId="168" fontId="4" fillId="0" borderId="4" xfId="1" applyNumberFormat="1" applyFont="1" applyBorder="1" applyAlignment="1">
      <alignment horizontal="right" readingOrder="1"/>
    </xf>
    <xf numFmtId="168" fontId="4" fillId="0" borderId="4" xfId="1" applyNumberFormat="1" applyFont="1" applyFill="1" applyBorder="1" applyAlignment="1">
      <alignment horizontal="right" readingOrder="1"/>
    </xf>
    <xf numFmtId="0" fontId="6" fillId="4" borderId="3" xfId="0" applyFont="1" applyFill="1" applyBorder="1" applyAlignment="1">
      <alignment horizontal="left" readingOrder="1"/>
    </xf>
    <xf numFmtId="168" fontId="5" fillId="4" borderId="4" xfId="1" applyNumberFormat="1" applyFont="1" applyFill="1" applyBorder="1" applyAlignment="1">
      <alignment horizontal="left" readingOrder="1"/>
    </xf>
    <xf numFmtId="166" fontId="7" fillId="9" borderId="0" xfId="0" applyNumberFormat="1" applyFont="1" applyFill="1"/>
    <xf numFmtId="171" fontId="4" fillId="3" borderId="4" xfId="1" applyNumberFormat="1" applyFont="1" applyFill="1" applyBorder="1" applyAlignment="1">
      <alignment horizontal="right" readingOrder="1"/>
    </xf>
    <xf numFmtId="0" fontId="12" fillId="0" borderId="10" xfId="0" applyFont="1" applyBorder="1" applyAlignment="1">
      <alignment horizontal="left" readingOrder="1"/>
    </xf>
    <xf numFmtId="168" fontId="12" fillId="0" borderId="4" xfId="1" applyNumberFormat="1" applyFont="1" applyBorder="1" applyAlignment="1">
      <alignment horizontal="right" vertical="center" readingOrder="1"/>
    </xf>
    <xf numFmtId="168" fontId="13" fillId="6" borderId="10" xfId="1" applyNumberFormat="1" applyFont="1" applyFill="1" applyBorder="1" applyAlignment="1">
      <alignment horizontal="left" readingOrder="1"/>
    </xf>
    <xf numFmtId="0" fontId="14" fillId="5" borderId="10" xfId="0" applyFont="1" applyFill="1" applyBorder="1" applyAlignment="1">
      <alignment horizontal="left" readingOrder="1"/>
    </xf>
    <xf numFmtId="168" fontId="14" fillId="5" borderId="10" xfId="1" applyNumberFormat="1" applyFont="1" applyFill="1" applyBorder="1" applyAlignment="1">
      <alignment horizontal="left" readingOrder="1"/>
    </xf>
    <xf numFmtId="0" fontId="14" fillId="8" borderId="10" xfId="0" applyFont="1" applyFill="1" applyBorder="1" applyAlignment="1">
      <alignment horizontal="left" readingOrder="1"/>
    </xf>
    <xf numFmtId="168" fontId="14" fillId="8" borderId="10" xfId="1" applyNumberFormat="1" applyFont="1" applyFill="1" applyBorder="1" applyAlignment="1">
      <alignment horizontal="left" readingOrder="1"/>
    </xf>
    <xf numFmtId="0" fontId="12" fillId="0" borderId="14" xfId="0" applyFont="1" applyFill="1" applyBorder="1" applyAlignment="1">
      <alignment horizontal="left" readingOrder="1"/>
    </xf>
    <xf numFmtId="168" fontId="4" fillId="6" borderId="10" xfId="1" applyNumberFormat="1" applyFont="1" applyFill="1" applyBorder="1" applyAlignment="1">
      <alignment horizontal="left" vertical="top" readingOrder="1"/>
    </xf>
    <xf numFmtId="166" fontId="12" fillId="0" borderId="10" xfId="0" applyNumberFormat="1" applyFont="1" applyBorder="1" applyAlignment="1">
      <alignment horizontal="right" readingOrder="1"/>
    </xf>
    <xf numFmtId="171" fontId="12" fillId="0" borderId="4" xfId="1" applyNumberFormat="1" applyFont="1" applyBorder="1" applyAlignment="1">
      <alignment horizontal="right" vertical="center" readingOrder="1"/>
    </xf>
    <xf numFmtId="168" fontId="15" fillId="9" borderId="0" xfId="0" applyNumberFormat="1" applyFont="1" applyFill="1"/>
    <xf numFmtId="0" fontId="1" fillId="9" borderId="0" xfId="0" applyFont="1" applyFill="1"/>
    <xf numFmtId="0" fontId="15" fillId="9" borderId="0" xfId="0" applyFont="1" applyFill="1" applyBorder="1"/>
    <xf numFmtId="164" fontId="15" fillId="9" borderId="0" xfId="1" applyFont="1" applyFill="1"/>
    <xf numFmtId="0" fontId="15" fillId="9" borderId="0" xfId="0" applyFont="1" applyFill="1"/>
    <xf numFmtId="165" fontId="15" fillId="9" borderId="0" xfId="0" applyNumberFormat="1" applyFont="1" applyFill="1"/>
    <xf numFmtId="166" fontId="15" fillId="9" borderId="0" xfId="0" applyNumberFormat="1" applyFont="1" applyFill="1"/>
    <xf numFmtId="10" fontId="15" fillId="9" borderId="0" xfId="0" applyNumberFormat="1" applyFont="1" applyFill="1"/>
    <xf numFmtId="168" fontId="15" fillId="9" borderId="0" xfId="1" applyNumberFormat="1" applyFont="1" applyFill="1"/>
    <xf numFmtId="0" fontId="25" fillId="9" borderId="0" xfId="0" applyFont="1" applyFill="1" applyBorder="1" applyAlignment="1">
      <alignment horizontal="left" readingOrder="1"/>
    </xf>
    <xf numFmtId="168" fontId="25" fillId="9" borderId="0" xfId="1" applyNumberFormat="1" applyFont="1" applyFill="1" applyBorder="1" applyAlignment="1">
      <alignment horizontal="right" readingOrder="1"/>
    </xf>
    <xf numFmtId="170" fontId="15" fillId="9" borderId="0" xfId="0" applyNumberFormat="1" applyFont="1" applyFill="1" applyBorder="1"/>
    <xf numFmtId="169" fontId="5" fillId="0" borderId="10" xfId="1" applyNumberFormat="1" applyFont="1" applyBorder="1" applyAlignment="1">
      <alignment horizontal="right" readingOrder="1"/>
    </xf>
    <xf numFmtId="0" fontId="15" fillId="0" borderId="0" xfId="0" applyFont="1"/>
    <xf numFmtId="170" fontId="15" fillId="9" borderId="0" xfId="0" applyNumberFormat="1" applyFont="1" applyFill="1"/>
    <xf numFmtId="0" fontId="26" fillId="9" borderId="10" xfId="0" applyFont="1" applyFill="1" applyBorder="1" applyAlignment="1">
      <alignment horizontal="left" readingOrder="1"/>
    </xf>
    <xf numFmtId="0" fontId="26" fillId="9" borderId="14" xfId="0" applyFont="1" applyFill="1" applyBorder="1" applyAlignment="1">
      <alignment horizontal="left" readingOrder="1"/>
    </xf>
    <xf numFmtId="0" fontId="25" fillId="9" borderId="12" xfId="0" applyFont="1" applyFill="1" applyBorder="1" applyAlignment="1">
      <alignment horizontal="left" readingOrder="1"/>
    </xf>
    <xf numFmtId="9" fontId="15" fillId="9" borderId="0" xfId="2" applyFont="1" applyFill="1"/>
    <xf numFmtId="168" fontId="15" fillId="9" borderId="0" xfId="2" applyNumberFormat="1" applyFont="1" applyFill="1"/>
    <xf numFmtId="167" fontId="15" fillId="9" borderId="0" xfId="2" applyNumberFormat="1" applyFont="1" applyFill="1"/>
  </cellXfs>
  <cellStyles count="21910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äkning" xfId="3608" xr:uid="{B8F5156B-DE49-40E8-9D90-1B27C606B5A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änkad cell" xfId="16260" xr:uid="{0924BE07-696D-4599-B1DE-51AC35EA95FC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"/>
  <sheetViews>
    <sheetView zoomScaleNormal="100" workbookViewId="0">
      <pane xSplit="1" topLeftCell="L1" activePane="topRight" state="frozen"/>
      <selection activeCell="A7" sqref="A7"/>
      <selection pane="topRight" activeCell="L2" sqref="L2"/>
    </sheetView>
  </sheetViews>
  <sheetFormatPr defaultColWidth="9.21875" defaultRowHeight="14.4" x14ac:dyDescent="0.3"/>
  <cols>
    <col min="1" max="1" width="24.21875" style="52" bestFit="1" customWidth="1"/>
    <col min="2" max="12" width="7.77734375" style="52" bestFit="1" customWidth="1"/>
    <col min="13" max="15" width="7" style="52" bestFit="1" customWidth="1"/>
    <col min="16" max="16" width="8.77734375" style="52" bestFit="1" customWidth="1"/>
    <col min="17" max="18" width="7.77734375" style="52" bestFit="1" customWidth="1"/>
    <col min="19" max="19" width="6.77734375" style="52" bestFit="1" customWidth="1"/>
    <col min="20" max="20" width="7.77734375" style="52" bestFit="1" customWidth="1"/>
    <col min="21" max="21" width="8.109375" style="52" bestFit="1" customWidth="1"/>
    <col min="22" max="23" width="7.77734375" style="52" bestFit="1" customWidth="1"/>
    <col min="24" max="25" width="9.21875" style="52"/>
    <col min="26" max="26" width="8.109375" style="52" bestFit="1" customWidth="1"/>
    <col min="27" max="16384" width="9.21875" style="52"/>
  </cols>
  <sheetData>
    <row r="1" spans="1:26" s="46" customFormat="1" x14ac:dyDescent="0.3">
      <c r="A1" s="56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>
        <v>2017</v>
      </c>
      <c r="G1" s="57" t="s">
        <v>5</v>
      </c>
      <c r="H1" s="57" t="s">
        <v>6</v>
      </c>
      <c r="I1" s="57" t="s">
        <v>7</v>
      </c>
      <c r="J1" s="57" t="s">
        <v>8</v>
      </c>
      <c r="K1" s="57">
        <v>2018</v>
      </c>
      <c r="L1" s="57" t="s">
        <v>9</v>
      </c>
      <c r="M1" s="57" t="s">
        <v>10</v>
      </c>
      <c r="N1" s="57" t="s">
        <v>11</v>
      </c>
      <c r="O1" s="57" t="s">
        <v>12</v>
      </c>
      <c r="P1" s="57">
        <v>2019</v>
      </c>
      <c r="Q1" s="57" t="s">
        <v>13</v>
      </c>
      <c r="R1" s="57" t="s">
        <v>14</v>
      </c>
      <c r="S1" s="57" t="s">
        <v>15</v>
      </c>
      <c r="T1" s="57" t="s">
        <v>16</v>
      </c>
      <c r="U1" s="57">
        <v>2020</v>
      </c>
      <c r="V1" s="57" t="s">
        <v>148</v>
      </c>
      <c r="W1" s="57" t="s">
        <v>149</v>
      </c>
      <c r="X1" s="57" t="s">
        <v>150</v>
      </c>
      <c r="Y1" s="57" t="s">
        <v>155</v>
      </c>
      <c r="Z1" s="57">
        <v>2021</v>
      </c>
    </row>
    <row r="2" spans="1:26" s="46" customFormat="1" x14ac:dyDescent="0.3">
      <c r="A2" s="58" t="s">
        <v>17</v>
      </c>
      <c r="B2" s="59">
        <v>1358.5319999999999</v>
      </c>
      <c r="C2" s="59">
        <v>2401.7190000000001</v>
      </c>
      <c r="D2" s="59">
        <v>1249.7311719999998</v>
      </c>
      <c r="E2" s="59">
        <v>2291.7290710000007</v>
      </c>
      <c r="F2" s="59">
        <f>+SUM(B2:E2)</f>
        <v>7301.7112430000006</v>
      </c>
      <c r="G2" s="59">
        <v>1795.0811838838945</v>
      </c>
      <c r="H2" s="59">
        <v>2966.9466242434009</v>
      </c>
      <c r="I2" s="59">
        <v>1545.9320507636041</v>
      </c>
      <c r="J2" s="59">
        <v>2739.5661348715657</v>
      </c>
      <c r="K2" s="59">
        <f t="shared" ref="K2:K25" si="0">+SUM(G2:J2)</f>
        <v>9047.5259937624651</v>
      </c>
      <c r="L2" s="59">
        <v>2639.336577</v>
      </c>
      <c r="M2" s="59">
        <v>4242.6541559999996</v>
      </c>
      <c r="N2" s="59">
        <v>2500.3411240000009</v>
      </c>
      <c r="O2" s="59">
        <v>4235.6881429999994</v>
      </c>
      <c r="P2" s="59">
        <f t="shared" ref="P2:P21" si="1">+SUM(L2:O2)</f>
        <v>13618.02</v>
      </c>
      <c r="Q2" s="59">
        <v>4203.9530000000004</v>
      </c>
      <c r="R2" s="59">
        <v>6095.0441590000009</v>
      </c>
      <c r="S2" s="59">
        <v>3668.1487149999998</v>
      </c>
      <c r="T2" s="59">
        <v>5632.3090000000002</v>
      </c>
      <c r="U2" s="59">
        <f>+SUM(Q2:T2)</f>
        <v>19599.454874000003</v>
      </c>
      <c r="V2" s="59">
        <v>5522.4570369999992</v>
      </c>
      <c r="W2" s="59">
        <v>8071.2955830000001</v>
      </c>
      <c r="X2" s="59">
        <v>5147.232</v>
      </c>
      <c r="Y2" s="59">
        <v>7697.3478729999997</v>
      </c>
      <c r="Z2" s="59">
        <f>+SUM(V2:Y2)</f>
        <v>26438.332492999998</v>
      </c>
    </row>
    <row r="3" spans="1:26" s="46" customFormat="1" x14ac:dyDescent="0.3">
      <c r="A3" s="47" t="s">
        <v>18</v>
      </c>
      <c r="B3" s="48">
        <v>9.3620922966947351E-2</v>
      </c>
      <c r="C3" s="48">
        <v>0.23136092581284706</v>
      </c>
      <c r="D3" s="48">
        <v>0.25549641152170754</v>
      </c>
      <c r="E3" s="48">
        <v>0.254</v>
      </c>
      <c r="F3" s="48">
        <f>+F2/6015.2-1</f>
        <v>0.21387671947732434</v>
      </c>
      <c r="G3" s="48">
        <f>+G2/B2-1</f>
        <v>0.3213389039668515</v>
      </c>
      <c r="H3" s="48">
        <f t="shared" ref="H3:I3" si="2">+H2/C2-1</f>
        <v>0.23534294571654746</v>
      </c>
      <c r="I3" s="48">
        <f t="shared" si="2"/>
        <v>0.23701167531060374</v>
      </c>
      <c r="J3" s="48">
        <f t="shared" ref="J3:P3" si="3">+J2/E2-1</f>
        <v>0.19541448836103048</v>
      </c>
      <c r="K3" s="48">
        <f t="shared" si="3"/>
        <v>0.23909665729881335</v>
      </c>
      <c r="L3" s="48">
        <f t="shared" si="3"/>
        <v>0.47031599500667021</v>
      </c>
      <c r="M3" s="48">
        <f t="shared" si="3"/>
        <v>0.42997319915787702</v>
      </c>
      <c r="N3" s="48">
        <f t="shared" si="3"/>
        <v>0.6173680614002226</v>
      </c>
      <c r="O3" s="48">
        <f t="shared" si="3"/>
        <v>0.54611640474179457</v>
      </c>
      <c r="P3" s="48">
        <f t="shared" si="3"/>
        <v>0.50516505941939482</v>
      </c>
      <c r="Q3" s="48">
        <f t="shared" ref="Q3:U3" si="4">+Q2/L2-1</f>
        <v>0.59280670628920706</v>
      </c>
      <c r="R3" s="48">
        <f t="shared" si="4"/>
        <v>0.43661112475555774</v>
      </c>
      <c r="S3" s="48">
        <f t="shared" si="4"/>
        <v>0.46705930634447235</v>
      </c>
      <c r="T3" s="48">
        <f t="shared" si="4"/>
        <v>0.32972702660088182</v>
      </c>
      <c r="U3" s="48">
        <f t="shared" si="4"/>
        <v>0.43922940882742156</v>
      </c>
      <c r="V3" s="48">
        <f>+V2/Q2-1</f>
        <v>0.31363434296244486</v>
      </c>
      <c r="W3" s="48">
        <f>+W2/R2-1</f>
        <v>0.32423906577967077</v>
      </c>
      <c r="X3" s="48">
        <f>+X2/S2-1</f>
        <v>0.40322336958467631</v>
      </c>
      <c r="Y3" s="48">
        <f>+Y2/T2-1</f>
        <v>0.36664161589855948</v>
      </c>
      <c r="Z3" s="48">
        <f t="shared" ref="Z3" si="5">+Z2/U2-1</f>
        <v>0.34893203218994762</v>
      </c>
    </row>
    <row r="4" spans="1:26" s="46" customFormat="1" x14ac:dyDescent="0.3">
      <c r="A4" s="60" t="s">
        <v>19</v>
      </c>
      <c r="B4" s="10">
        <v>-1088.7280000000001</v>
      </c>
      <c r="C4" s="10">
        <v>-2045.164</v>
      </c>
      <c r="D4" s="10">
        <v>-1021.9790419999999</v>
      </c>
      <c r="E4" s="10">
        <v>-1930.0640250000004</v>
      </c>
      <c r="F4" s="10">
        <f>+SUM(B4:E4)</f>
        <v>-6085.9350670000003</v>
      </c>
      <c r="G4" s="10">
        <v>-1485.3460884973745</v>
      </c>
      <c r="H4" s="10">
        <v>-2559.4177494948713</v>
      </c>
      <c r="I4" s="10">
        <v>-1236.0872547702841</v>
      </c>
      <c r="J4" s="10">
        <v>-2280.5669642231965</v>
      </c>
      <c r="K4" s="10">
        <f t="shared" si="0"/>
        <v>-7561.4180569857253</v>
      </c>
      <c r="L4" s="10">
        <v>-2244.0830899999996</v>
      </c>
      <c r="M4" s="10">
        <v>-3748.9222810000006</v>
      </c>
      <c r="N4" s="10">
        <v>-2107.1951770000001</v>
      </c>
      <c r="O4" s="10">
        <v>-3709.108549999999</v>
      </c>
      <c r="P4" s="10">
        <f t="shared" si="1"/>
        <v>-11809.309098</v>
      </c>
      <c r="Q4" s="10">
        <f>-3688.747</f>
        <v>-3688.7469999999998</v>
      </c>
      <c r="R4" s="10">
        <v>-5429.2050899999995</v>
      </c>
      <c r="S4" s="10">
        <v>-3171.844188</v>
      </c>
      <c r="T4" s="10">
        <f>-4964.874</f>
        <v>-4964.8739999999998</v>
      </c>
      <c r="U4" s="10">
        <f>+SUM(Q4:T4)</f>
        <v>-17254.670277999998</v>
      </c>
      <c r="V4" s="10">
        <v>-4887.5158799999999</v>
      </c>
      <c r="W4" s="10">
        <v>-7259.6782720000001</v>
      </c>
      <c r="X4" s="10">
        <v>-4505.46</v>
      </c>
      <c r="Y4" s="10">
        <v>-6745.9303739999996</v>
      </c>
      <c r="Z4" s="10">
        <f>+SUM(V4:Y4)</f>
        <v>-23398.584525999999</v>
      </c>
    </row>
    <row r="5" spans="1:26" s="46" customFormat="1" x14ac:dyDescent="0.3">
      <c r="A5" s="61" t="s">
        <v>20</v>
      </c>
      <c r="B5" s="62">
        <f>+B2+B4</f>
        <v>269.80399999999986</v>
      </c>
      <c r="C5" s="62">
        <f t="shared" ref="C5:J5" si="6">+C2+C4</f>
        <v>356.55500000000006</v>
      </c>
      <c r="D5" s="62">
        <f t="shared" si="6"/>
        <v>227.75212999999985</v>
      </c>
      <c r="E5" s="62">
        <f t="shared" si="6"/>
        <v>361.6650460000003</v>
      </c>
      <c r="F5" s="62">
        <f t="shared" si="6"/>
        <v>1215.7761760000003</v>
      </c>
      <c r="G5" s="62">
        <f t="shared" si="6"/>
        <v>309.73509538652002</v>
      </c>
      <c r="H5" s="62">
        <f t="shared" si="6"/>
        <v>407.52887474852969</v>
      </c>
      <c r="I5" s="62">
        <f t="shared" si="6"/>
        <v>309.84479599332008</v>
      </c>
      <c r="J5" s="62">
        <f t="shared" si="6"/>
        <v>458.99917064836927</v>
      </c>
      <c r="K5" s="63">
        <f>+K2+K4</f>
        <v>1486.1079367767397</v>
      </c>
      <c r="L5" s="63">
        <f>+L2+L4</f>
        <v>395.2534870000004</v>
      </c>
      <c r="M5" s="63">
        <f t="shared" ref="M5" si="7">+M2+M4</f>
        <v>493.73187499999904</v>
      </c>
      <c r="N5" s="63">
        <f t="shared" ref="N5:T5" si="8">+N2+N4</f>
        <v>393.14594700000089</v>
      </c>
      <c r="O5" s="63">
        <f t="shared" si="8"/>
        <v>526.57959300000039</v>
      </c>
      <c r="P5" s="63">
        <f t="shared" si="8"/>
        <v>1808.7109020000007</v>
      </c>
      <c r="Q5" s="63">
        <f t="shared" si="8"/>
        <v>515.20600000000059</v>
      </c>
      <c r="R5" s="63">
        <f t="shared" si="8"/>
        <v>665.83906900000147</v>
      </c>
      <c r="S5" s="63">
        <f t="shared" si="8"/>
        <v>496.30452699999978</v>
      </c>
      <c r="T5" s="63">
        <f t="shared" si="8"/>
        <v>667.4350000000004</v>
      </c>
      <c r="U5" s="63">
        <f>+SUM(Q5:T5)</f>
        <v>2344.7845960000022</v>
      </c>
      <c r="V5" s="63">
        <f>+V2+V4</f>
        <v>634.94115699999929</v>
      </c>
      <c r="W5" s="63">
        <f>+W2+W4</f>
        <v>811.61731099999997</v>
      </c>
      <c r="X5" s="63">
        <f>+X2+X4</f>
        <v>641.77199999999993</v>
      </c>
      <c r="Y5" s="63">
        <f>+Y2+Y4</f>
        <v>951.41749900000013</v>
      </c>
      <c r="Z5" s="63">
        <f>+SUM(V5:Y5)</f>
        <v>3039.7479669999993</v>
      </c>
    </row>
    <row r="6" spans="1:26" s="46" customFormat="1" x14ac:dyDescent="0.3">
      <c r="A6" s="47" t="s">
        <v>21</v>
      </c>
      <c r="B6" s="49">
        <f>+B5/B2</f>
        <v>0.19859966493244169</v>
      </c>
      <c r="C6" s="49">
        <f t="shared" ref="C6:K6" si="9">+C5/C2</f>
        <v>0.14845825011169086</v>
      </c>
      <c r="D6" s="49">
        <f t="shared" si="9"/>
        <v>0.1822408971647223</v>
      </c>
      <c r="E6" s="49">
        <f t="shared" si="9"/>
        <v>0.15781317721042262</v>
      </c>
      <c r="F6" s="49">
        <f>+F5/F2</f>
        <v>0.16650564991398964</v>
      </c>
      <c r="G6" s="49">
        <f t="shared" si="9"/>
        <v>0.17254656678889996</v>
      </c>
      <c r="H6" s="49">
        <f t="shared" si="9"/>
        <v>0.13735632161985839</v>
      </c>
      <c r="I6" s="49">
        <f t="shared" si="9"/>
        <v>0.20042588278073026</v>
      </c>
      <c r="J6" s="49">
        <f>+J5/J2</f>
        <v>0.16754447531155794</v>
      </c>
      <c r="K6" s="49">
        <f t="shared" si="9"/>
        <v>0.16425572447111958</v>
      </c>
      <c r="L6" s="49">
        <f>+L5/L2</f>
        <v>0.14975486281073896</v>
      </c>
      <c r="M6" s="49">
        <f>+M5/M2</f>
        <v>0.11637334952267062</v>
      </c>
      <c r="N6" s="49">
        <f>+N5/N2</f>
        <v>0.15723692388463101</v>
      </c>
      <c r="O6" s="49">
        <f>+O5/O2</f>
        <v>0.12431972685955139</v>
      </c>
      <c r="P6" s="49">
        <f t="shared" ref="P6" si="10">+P5/P2</f>
        <v>0.13281746553463725</v>
      </c>
      <c r="Q6" s="49">
        <f t="shared" ref="Q6:V6" si="11">+Q5/Q2</f>
        <v>0.12255274975719294</v>
      </c>
      <c r="R6" s="49">
        <f t="shared" si="11"/>
        <v>0.10924269810528232</v>
      </c>
      <c r="S6" s="49">
        <f t="shared" si="11"/>
        <v>0.13530109206600141</v>
      </c>
      <c r="T6" s="49">
        <f t="shared" si="11"/>
        <v>0.11850113337176642</v>
      </c>
      <c r="U6" s="49">
        <f t="shared" si="11"/>
        <v>0.11963519450280818</v>
      </c>
      <c r="V6" s="49">
        <f t="shared" si="11"/>
        <v>0.11497439504661544</v>
      </c>
      <c r="W6" s="49">
        <f>+W5/W2</f>
        <v>0.1005560139204234</v>
      </c>
      <c r="X6" s="49">
        <f>+X5/X2</f>
        <v>0.1246829363821176</v>
      </c>
      <c r="Y6" s="49">
        <f>+Y5/Y2</f>
        <v>0.12360328709285556</v>
      </c>
      <c r="Z6" s="49">
        <f t="shared" ref="Z6" si="12">+Z5/Z2</f>
        <v>0.11497502604617083</v>
      </c>
    </row>
    <row r="7" spans="1:26" s="46" customFormat="1" x14ac:dyDescent="0.3">
      <c r="A7" s="60" t="s">
        <v>22</v>
      </c>
      <c r="B7" s="10">
        <v>-228.43100000000001</v>
      </c>
      <c r="C7" s="10">
        <v>-243.97900000000001</v>
      </c>
      <c r="D7" s="10">
        <v>-204.51884399999997</v>
      </c>
      <c r="E7" s="10">
        <v>-273.64495899999997</v>
      </c>
      <c r="F7" s="10">
        <f>+SUM(B7:E7)</f>
        <v>-950.573803</v>
      </c>
      <c r="G7" s="10">
        <v>-258.63108249824631</v>
      </c>
      <c r="H7" s="10">
        <v>-269.50832999999994</v>
      </c>
      <c r="I7" s="10">
        <v>-258.80639400000001</v>
      </c>
      <c r="J7" s="10">
        <v>-327.79245120999997</v>
      </c>
      <c r="K7" s="10">
        <f t="shared" si="0"/>
        <v>-1114.7382577082462</v>
      </c>
      <c r="L7" s="10">
        <v>-307.68099999999998</v>
      </c>
      <c r="M7" s="10">
        <v>-333.08479</v>
      </c>
      <c r="N7" s="10">
        <v>-309.04225000000002</v>
      </c>
      <c r="O7" s="10">
        <f>-362.880643</f>
        <v>-362.88064300000002</v>
      </c>
      <c r="P7" s="10">
        <f t="shared" si="1"/>
        <v>-1312.6886829999999</v>
      </c>
      <c r="Q7" s="10">
        <f>-395.487</f>
        <v>-395.48700000000002</v>
      </c>
      <c r="R7" s="10">
        <v>-449.879772</v>
      </c>
      <c r="S7" s="10">
        <v>-409.900757</v>
      </c>
      <c r="T7" s="10">
        <f>-461.434</f>
        <v>-461.43400000000003</v>
      </c>
      <c r="U7" s="10">
        <f>+SUM(Q7:T7)</f>
        <v>-1716.7015290000002</v>
      </c>
      <c r="V7" s="10">
        <v>-489.37094500000001</v>
      </c>
      <c r="W7" s="10">
        <v>-481.48826299999996</v>
      </c>
      <c r="X7" s="10">
        <v>-506.710914</v>
      </c>
      <c r="Y7" s="10">
        <v>-634.80414599999995</v>
      </c>
      <c r="Z7" s="10">
        <f>+SUM(V7:Y7)</f>
        <v>-2112.374268</v>
      </c>
    </row>
    <row r="8" spans="1:26" s="46" customFormat="1" x14ac:dyDescent="0.3">
      <c r="A8" s="60" t="s">
        <v>23</v>
      </c>
      <c r="B8" s="10">
        <v>-36.72</v>
      </c>
      <c r="C8" s="10">
        <v>-35.466999999999999</v>
      </c>
      <c r="D8" s="10">
        <v>-43.283851999999996</v>
      </c>
      <c r="E8" s="10">
        <v>-45.890432000000004</v>
      </c>
      <c r="F8" s="10">
        <f>+SUM(B8:E8)</f>
        <v>-161.36128400000001</v>
      </c>
      <c r="G8" s="10">
        <v>-40.592950999999999</v>
      </c>
      <c r="H8" s="10">
        <v>-46.865004919999997</v>
      </c>
      <c r="I8" s="10">
        <v>-51.790621000000002</v>
      </c>
      <c r="J8" s="10">
        <v>-55.065610790000001</v>
      </c>
      <c r="K8" s="10">
        <f t="shared" si="0"/>
        <v>-194.31418771</v>
      </c>
      <c r="L8" s="10">
        <v>-58.256999999999998</v>
      </c>
      <c r="M8" s="10">
        <v>-55.191839999999999</v>
      </c>
      <c r="N8" s="10">
        <v>-52.932569999999998</v>
      </c>
      <c r="O8" s="10">
        <v>-79.715050000000005</v>
      </c>
      <c r="P8" s="10">
        <f t="shared" si="1"/>
        <v>-246.09645999999998</v>
      </c>
      <c r="Q8" s="10">
        <f>-81.223</f>
        <v>-81.222999999999999</v>
      </c>
      <c r="R8" s="10">
        <v>-51.534571999999997</v>
      </c>
      <c r="S8" s="10">
        <v>-54.062699000000002</v>
      </c>
      <c r="T8" s="10">
        <f>-59.85</f>
        <v>-59.85</v>
      </c>
      <c r="U8" s="10">
        <f>+SUM(Q8:T8)</f>
        <v>-246.67027099999999</v>
      </c>
      <c r="V8" s="10">
        <v>-64.361361000000002</v>
      </c>
      <c r="W8" s="10">
        <v>-70.391999075935402</v>
      </c>
      <c r="X8" s="10">
        <v>-74.656071000000196</v>
      </c>
      <c r="Y8" s="10">
        <v>-126.98969700000001</v>
      </c>
      <c r="Z8" s="10">
        <f>+SUM(V8:Y8)</f>
        <v>-336.39912807593561</v>
      </c>
    </row>
    <row r="9" spans="1:26" s="46" customFormat="1" x14ac:dyDescent="0.3">
      <c r="A9" s="61" t="s">
        <v>24</v>
      </c>
      <c r="B9" s="62">
        <f>+B7+B8</f>
        <v>-265.15100000000001</v>
      </c>
      <c r="C9" s="62">
        <f t="shared" ref="C9:L9" si="13">+C7+C8</f>
        <v>-279.44600000000003</v>
      </c>
      <c r="D9" s="62">
        <f t="shared" si="13"/>
        <v>-247.80269599999997</v>
      </c>
      <c r="E9" s="62">
        <f t="shared" si="13"/>
        <v>-319.535391</v>
      </c>
      <c r="F9" s="62">
        <f t="shared" si="13"/>
        <v>-1111.9350870000001</v>
      </c>
      <c r="G9" s="62">
        <f t="shared" si="13"/>
        <v>-299.22403349824629</v>
      </c>
      <c r="H9" s="62">
        <f t="shared" si="13"/>
        <v>-316.37333491999993</v>
      </c>
      <c r="I9" s="62">
        <f t="shared" si="13"/>
        <v>-310.597015</v>
      </c>
      <c r="J9" s="62">
        <f t="shared" si="13"/>
        <v>-382.85806199999996</v>
      </c>
      <c r="K9" s="62">
        <f t="shared" si="13"/>
        <v>-1309.0524454182462</v>
      </c>
      <c r="L9" s="62">
        <f t="shared" si="13"/>
        <v>-365.93799999999999</v>
      </c>
      <c r="M9" s="62">
        <f>+M7+M8</f>
        <v>-388.27663000000001</v>
      </c>
      <c r="N9" s="62">
        <f>+N7+N8</f>
        <v>-361.97482000000002</v>
      </c>
      <c r="O9" s="62">
        <f>+O7+O8</f>
        <v>-442.59569300000004</v>
      </c>
      <c r="P9" s="62">
        <f t="shared" ref="P9" si="14">+P7+P8</f>
        <v>-1558.7851429999998</v>
      </c>
      <c r="Q9" s="62">
        <f>+Q7+Q8</f>
        <v>-476.71000000000004</v>
      </c>
      <c r="R9" s="62">
        <f>+R7+R8</f>
        <v>-501.41434400000003</v>
      </c>
      <c r="S9" s="62">
        <f>+S7+S8</f>
        <v>-463.96345600000001</v>
      </c>
      <c r="T9" s="62">
        <f>+T7+T8</f>
        <v>-521.28399999999999</v>
      </c>
      <c r="U9" s="62">
        <f>+SUM(Q9:T9)</f>
        <v>-1963.3717999999999</v>
      </c>
      <c r="V9" s="62">
        <f>+V7+V8</f>
        <v>-553.73230599999999</v>
      </c>
      <c r="W9" s="62">
        <f>+W7+W8</f>
        <v>-551.88026207593532</v>
      </c>
      <c r="X9" s="62">
        <f>+X7+X8</f>
        <v>-581.36698500000023</v>
      </c>
      <c r="Y9" s="62">
        <f>(+Y7+Y8)</f>
        <v>-761.79384299999992</v>
      </c>
      <c r="Z9" s="62">
        <f>+SUM(V9:Y9)</f>
        <v>-2448.7733960759356</v>
      </c>
    </row>
    <row r="10" spans="1:26" s="46" customFormat="1" x14ac:dyDescent="0.3">
      <c r="A10" s="58" t="s">
        <v>25</v>
      </c>
      <c r="B10" s="59">
        <f>+B5+B9</f>
        <v>4.6529999999998495</v>
      </c>
      <c r="C10" s="59">
        <f t="shared" ref="C10:L10" si="15">+C5+C9</f>
        <v>77.109000000000037</v>
      </c>
      <c r="D10" s="59">
        <f t="shared" si="15"/>
        <v>-20.050566000000117</v>
      </c>
      <c r="E10" s="59">
        <f t="shared" si="15"/>
        <v>42.129655000000298</v>
      </c>
      <c r="F10" s="59">
        <f t="shared" si="15"/>
        <v>103.84108900000024</v>
      </c>
      <c r="G10" s="59">
        <f t="shared" si="15"/>
        <v>10.51106188827373</v>
      </c>
      <c r="H10" s="59">
        <f t="shared" si="15"/>
        <v>91.155539828529754</v>
      </c>
      <c r="I10" s="59">
        <f t="shared" si="15"/>
        <v>-0.75221900667992259</v>
      </c>
      <c r="J10" s="59">
        <f t="shared" si="15"/>
        <v>76.141108648369311</v>
      </c>
      <c r="K10" s="59">
        <f t="shared" si="15"/>
        <v>177.05549135849355</v>
      </c>
      <c r="L10" s="59">
        <f t="shared" si="15"/>
        <v>29.315487000000417</v>
      </c>
      <c r="M10" s="59">
        <f>+M5+M9</f>
        <v>105.45524499999902</v>
      </c>
      <c r="N10" s="59">
        <f>+N5+N9</f>
        <v>31.171127000000865</v>
      </c>
      <c r="O10" s="59">
        <f>+O5+O9</f>
        <v>83.983900000000347</v>
      </c>
      <c r="P10" s="59">
        <f t="shared" ref="P10:Q10" si="16">+P5+P9</f>
        <v>249.92575900000088</v>
      </c>
      <c r="Q10" s="59">
        <f t="shared" si="16"/>
        <v>38.496000000000549</v>
      </c>
      <c r="R10" s="59">
        <f t="shared" ref="R10:S10" si="17">+R5+R9</f>
        <v>164.42472500000144</v>
      </c>
      <c r="S10" s="59">
        <f t="shared" si="17"/>
        <v>32.341070999999772</v>
      </c>
      <c r="T10" s="59">
        <f>+T5+T9</f>
        <v>146.15100000000041</v>
      </c>
      <c r="U10" s="59">
        <f>+SUM(Q10:T10)</f>
        <v>381.41279600000217</v>
      </c>
      <c r="V10" s="59">
        <f>+V5+V9</f>
        <v>81.208850999999299</v>
      </c>
      <c r="W10" s="59">
        <f>+W5+W9</f>
        <v>259.73704892406465</v>
      </c>
      <c r="X10" s="59">
        <f>+X5+X9</f>
        <v>60.405014999999707</v>
      </c>
      <c r="Y10" s="59">
        <f>+Y5+Y9</f>
        <v>189.62365600000021</v>
      </c>
      <c r="Z10" s="59">
        <f>+SUM(V10:Y10)</f>
        <v>590.97457092406387</v>
      </c>
    </row>
    <row r="11" spans="1:26" s="46" customFormat="1" x14ac:dyDescent="0.3">
      <c r="A11" s="47" t="s">
        <v>26</v>
      </c>
      <c r="B11" s="48">
        <f>+B10/B2</f>
        <v>3.4250205368735148E-3</v>
      </c>
      <c r="C11" s="48">
        <f t="shared" ref="C11:L11" si="18">+C10/C2</f>
        <v>3.2105754253515931E-2</v>
      </c>
      <c r="D11" s="48">
        <f t="shared" si="18"/>
        <v>-1.6043903240336332E-2</v>
      </c>
      <c r="E11" s="48">
        <f t="shared" si="18"/>
        <v>1.8383348857907073E-2</v>
      </c>
      <c r="F11" s="48">
        <f t="shared" si="18"/>
        <v>1.4221472959445026E-2</v>
      </c>
      <c r="G11" s="48">
        <f t="shared" si="18"/>
        <v>5.8554799541331408E-3</v>
      </c>
      <c r="H11" s="48">
        <f t="shared" si="18"/>
        <v>3.0723687134673435E-2</v>
      </c>
      <c r="I11" s="48">
        <f t="shared" si="18"/>
        <v>-4.8657960504044689E-4</v>
      </c>
      <c r="J11" s="48">
        <f>+J10/J2</f>
        <v>2.7793126684981052E-2</v>
      </c>
      <c r="K11" s="48">
        <f t="shared" si="18"/>
        <v>1.9569492420420671E-2</v>
      </c>
      <c r="L11" s="48">
        <f t="shared" si="18"/>
        <v>1.1107142323364398E-2</v>
      </c>
      <c r="M11" s="48">
        <f>+M10/M2</f>
        <v>2.4855960708195662E-2</v>
      </c>
      <c r="N11" s="48">
        <f>+N10/N2</f>
        <v>1.2466749716988159E-2</v>
      </c>
      <c r="O11" s="48">
        <f>+O10/O2</f>
        <v>1.9827687300065792E-2</v>
      </c>
      <c r="P11" s="48">
        <f t="shared" ref="P11:R11" si="19">+P10/P2</f>
        <v>1.8352576879752041E-2</v>
      </c>
      <c r="Q11" s="48">
        <f t="shared" si="19"/>
        <v>9.1570957144384221E-3</v>
      </c>
      <c r="R11" s="48">
        <f t="shared" si="19"/>
        <v>2.6976789783747557E-2</v>
      </c>
      <c r="S11" s="48">
        <f t="shared" ref="S11:X11" si="20">+S10/S2</f>
        <v>8.8167284133679885E-3</v>
      </c>
      <c r="T11" s="48">
        <f t="shared" si="20"/>
        <v>2.5948682858131612E-2</v>
      </c>
      <c r="U11" s="48">
        <f t="shared" si="20"/>
        <v>1.9460377773362052E-2</v>
      </c>
      <c r="V11" s="48">
        <f t="shared" si="20"/>
        <v>1.470520285733448E-2</v>
      </c>
      <c r="W11" s="48">
        <f t="shared" si="20"/>
        <v>3.2180341588670155E-2</v>
      </c>
      <c r="X11" s="48">
        <f t="shared" si="20"/>
        <v>1.173543663856607E-2</v>
      </c>
      <c r="Y11" s="48">
        <f>+Y10/Y2</f>
        <v>2.4634933892638974E-2</v>
      </c>
      <c r="Z11" s="48">
        <f t="shared" ref="Z11" si="21">+Z10/Z2</f>
        <v>2.2352944198751359E-2</v>
      </c>
    </row>
    <row r="12" spans="1:26" s="46" customFormat="1" x14ac:dyDescent="0.3">
      <c r="A12" s="60" t="s">
        <v>27</v>
      </c>
      <c r="B12" s="10">
        <v>-2.44</v>
      </c>
      <c r="C12" s="10">
        <v>-2.419</v>
      </c>
      <c r="D12" s="10">
        <v>-2.3908480000000019</v>
      </c>
      <c r="E12" s="10">
        <v>-2.4520189999999928</v>
      </c>
      <c r="F12" s="10">
        <f>+SUM(B12:E12)</f>
        <v>-9.7018669999999947</v>
      </c>
      <c r="G12" s="10">
        <v>-2.543521999999999</v>
      </c>
      <c r="H12" s="10">
        <v>-2.5604760000000004</v>
      </c>
      <c r="I12" s="10">
        <v>-3.0160959999999979</v>
      </c>
      <c r="J12" s="10">
        <v>-3.4613190000000102</v>
      </c>
      <c r="K12" s="10">
        <f t="shared" si="0"/>
        <v>-11.581413000000007</v>
      </c>
      <c r="L12" s="10">
        <v>-9.1533999999999995</v>
      </c>
      <c r="M12" s="10">
        <v>-10.851279999999999</v>
      </c>
      <c r="N12" s="10">
        <v>-9.6340299999999992</v>
      </c>
      <c r="O12" s="10">
        <f>-10.9854</f>
        <v>-10.9854</v>
      </c>
      <c r="P12" s="10">
        <f t="shared" si="1"/>
        <v>-40.624110000000002</v>
      </c>
      <c r="Q12" s="10">
        <f>-12.493854</f>
        <v>-12.493854000000001</v>
      </c>
      <c r="R12" s="10">
        <v>-13.142138999999998</v>
      </c>
      <c r="S12" s="10">
        <v>-13.927787</v>
      </c>
      <c r="T12" s="10">
        <f>-14.514</f>
        <v>-14.513999999999999</v>
      </c>
      <c r="U12" s="10">
        <f>+SUM(Q12:T12)</f>
        <v>-54.077780000000004</v>
      </c>
      <c r="V12" s="10">
        <v>-14.504168999999999</v>
      </c>
      <c r="W12" s="10">
        <v>-17.202220000000001</v>
      </c>
      <c r="X12" s="10">
        <v>-16.695772999999999</v>
      </c>
      <c r="Y12" s="10">
        <v>-20.520457</v>
      </c>
      <c r="Z12" s="10">
        <f>+SUM(V12:Y12)</f>
        <v>-68.922618999999997</v>
      </c>
    </row>
    <row r="13" spans="1:26" s="46" customFormat="1" x14ac:dyDescent="0.3">
      <c r="A13" s="60" t="s">
        <v>28</v>
      </c>
      <c r="B13" s="10">
        <v>-12.836</v>
      </c>
      <c r="C13" s="10">
        <v>-13.39</v>
      </c>
      <c r="D13" s="10">
        <v>-13.787483999999997</v>
      </c>
      <c r="E13" s="10">
        <v>-20.668138000000006</v>
      </c>
      <c r="F13" s="10">
        <f>+SUM(B13:E13)</f>
        <v>-60.681622000000004</v>
      </c>
      <c r="G13" s="10">
        <v>-15.167457000000001</v>
      </c>
      <c r="H13" s="10">
        <v>-15.895833</v>
      </c>
      <c r="I13" s="10">
        <v>-16.434480999999998</v>
      </c>
      <c r="J13" s="10">
        <v>-17.399593999999997</v>
      </c>
      <c r="K13" s="10">
        <f t="shared" si="0"/>
        <v>-64.897364999999994</v>
      </c>
      <c r="L13" s="10">
        <v>-17.283259999999999</v>
      </c>
      <c r="M13" s="10">
        <v>-18.082740000000001</v>
      </c>
      <c r="N13" s="10">
        <v>-18.309049999999999</v>
      </c>
      <c r="O13" s="10">
        <f>-78.56901</f>
        <v>-78.569010000000006</v>
      </c>
      <c r="P13" s="10">
        <f t="shared" si="1"/>
        <v>-132.24405999999999</v>
      </c>
      <c r="Q13" s="10">
        <f>-20.134617</f>
        <v>-20.134616999999999</v>
      </c>
      <c r="R13" s="10">
        <v>-21.466191999999999</v>
      </c>
      <c r="S13" s="10">
        <v>-21.945461999999999</v>
      </c>
      <c r="T13" s="10">
        <f>-22.677</f>
        <v>-22.677</v>
      </c>
      <c r="U13" s="10">
        <f>+SUM(Q13:T13)</f>
        <v>-86.223270999999997</v>
      </c>
      <c r="V13" s="10">
        <v>-21.580739000000001</v>
      </c>
      <c r="W13" s="10">
        <v>-22.568017999999999</v>
      </c>
      <c r="X13" s="10">
        <v>-24.653499</v>
      </c>
      <c r="Y13" s="10">
        <v>-36.817877000000003</v>
      </c>
      <c r="Z13" s="10">
        <f>+SUM(V13:Y13)</f>
        <v>-105.62013300000001</v>
      </c>
    </row>
    <row r="14" spans="1:26" s="46" customFormat="1" x14ac:dyDescent="0.3">
      <c r="A14" s="60" t="s">
        <v>29</v>
      </c>
      <c r="B14" s="10">
        <v>0</v>
      </c>
      <c r="C14" s="10">
        <v>-1.3</v>
      </c>
      <c r="D14" s="10">
        <v>0</v>
      </c>
      <c r="E14" s="10">
        <v>0</v>
      </c>
      <c r="F14" s="10">
        <f>+SUM(B14:E14)</f>
        <v>-1.3</v>
      </c>
      <c r="G14" s="10">
        <v>0</v>
      </c>
      <c r="H14" s="10">
        <v>0</v>
      </c>
      <c r="I14" s="10">
        <v>0</v>
      </c>
      <c r="J14" s="10">
        <v>0</v>
      </c>
      <c r="K14" s="10">
        <f t="shared" si="0"/>
        <v>0</v>
      </c>
      <c r="L14" s="10">
        <v>0</v>
      </c>
      <c r="M14" s="10">
        <v>0</v>
      </c>
      <c r="N14" s="10"/>
      <c r="O14" s="10"/>
      <c r="P14" s="10">
        <f t="shared" si="1"/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46" customFormat="1" x14ac:dyDescent="0.3">
      <c r="A15" s="58" t="s">
        <v>30</v>
      </c>
      <c r="B15" s="59">
        <f>+B10+B12+B13+B14</f>
        <v>-10.62300000000015</v>
      </c>
      <c r="C15" s="59">
        <f t="shared" ref="C15:L15" si="22">+C10+C12+C13+C14</f>
        <v>60.000000000000043</v>
      </c>
      <c r="D15" s="59">
        <f t="shared" si="22"/>
        <v>-36.228898000000115</v>
      </c>
      <c r="E15" s="59">
        <f t="shared" si="22"/>
        <v>19.009498000000299</v>
      </c>
      <c r="F15" s="59">
        <f t="shared" si="22"/>
        <v>32.157600000000244</v>
      </c>
      <c r="G15" s="59">
        <f t="shared" si="22"/>
        <v>-7.1999171117262701</v>
      </c>
      <c r="H15" s="59">
        <f t="shared" si="22"/>
        <v>72.699230828529764</v>
      </c>
      <c r="I15" s="59">
        <f t="shared" si="22"/>
        <v>-20.202796006679918</v>
      </c>
      <c r="J15" s="59">
        <f t="shared" si="22"/>
        <v>55.280195648369315</v>
      </c>
      <c r="K15" s="59">
        <f t="shared" si="22"/>
        <v>100.57671335849356</v>
      </c>
      <c r="L15" s="67">
        <f t="shared" si="22"/>
        <v>2.8788270000004204</v>
      </c>
      <c r="M15" s="59">
        <f t="shared" ref="M15" si="23">+M10+M12+M13+M14</f>
        <v>76.521224999999021</v>
      </c>
      <c r="N15" s="59">
        <f>+N10+N12+N13+N14</f>
        <v>3.228047000000867</v>
      </c>
      <c r="O15" s="59">
        <f>+O10+O12+O13+O14</f>
        <v>-5.5705099999996577</v>
      </c>
      <c r="P15" s="59">
        <f t="shared" ref="P15:Y15" si="24">+P10+P12+P13+P14</f>
        <v>77.057589000000888</v>
      </c>
      <c r="Q15" s="59">
        <f t="shared" si="24"/>
        <v>5.8675290000005518</v>
      </c>
      <c r="R15" s="59">
        <f t="shared" si="24"/>
        <v>129.81639400000145</v>
      </c>
      <c r="S15" s="59">
        <f t="shared" si="24"/>
        <v>-3.5321780000002292</v>
      </c>
      <c r="T15" s="59">
        <f t="shared" si="24"/>
        <v>108.96000000000041</v>
      </c>
      <c r="U15" s="59">
        <f>+SUM(Q15:T15)</f>
        <v>241.11174500000217</v>
      </c>
      <c r="V15" s="59">
        <f t="shared" si="24"/>
        <v>45.123942999999294</v>
      </c>
      <c r="W15" s="59">
        <f t="shared" si="24"/>
        <v>219.96681092406465</v>
      </c>
      <c r="X15" s="59">
        <f t="shared" si="24"/>
        <v>19.055742999999705</v>
      </c>
      <c r="Y15" s="59">
        <f t="shared" si="24"/>
        <v>132.28532200000021</v>
      </c>
      <c r="Z15" s="59">
        <f>+SUM(V15:Y15)</f>
        <v>416.43181892406392</v>
      </c>
    </row>
    <row r="16" spans="1:26" s="46" customFormat="1" x14ac:dyDescent="0.3">
      <c r="A16" s="47" t="s">
        <v>31</v>
      </c>
      <c r="B16" s="48">
        <f>+B15/B2</f>
        <v>-7.8194698395033391E-3</v>
      </c>
      <c r="C16" s="48">
        <f t="shared" ref="C16:L16" si="25">+C15/C2</f>
        <v>2.4982106566171995E-2</v>
      </c>
      <c r="D16" s="48">
        <f t="shared" si="25"/>
        <v>-2.8989352919813478E-2</v>
      </c>
      <c r="E16" s="48">
        <f t="shared" si="25"/>
        <v>8.2948277964224916E-3</v>
      </c>
      <c r="F16" s="48">
        <f t="shared" si="25"/>
        <v>4.4041182853990658E-3</v>
      </c>
      <c r="G16" s="48">
        <f t="shared" si="25"/>
        <v>-4.0109144791704082E-3</v>
      </c>
      <c r="H16" s="48">
        <f t="shared" si="25"/>
        <v>2.4503046409562135E-2</v>
      </c>
      <c r="I16" s="48">
        <f t="shared" si="25"/>
        <v>-1.3068359632430717E-2</v>
      </c>
      <c r="J16" s="48">
        <f t="shared" si="25"/>
        <v>2.0178449041516174E-2</v>
      </c>
      <c r="K16" s="48">
        <f t="shared" si="25"/>
        <v>1.111648791369409E-2</v>
      </c>
      <c r="L16" s="48">
        <f t="shared" si="25"/>
        <v>1.0907388716874589E-3</v>
      </c>
      <c r="M16" s="48">
        <f>+M15/M2</f>
        <v>1.803616844229031E-2</v>
      </c>
      <c r="N16" s="48">
        <f>+N15/N2</f>
        <v>1.2910426377488425E-3</v>
      </c>
      <c r="O16" s="48">
        <f>+O15/O2</f>
        <v>-1.3151369534146694E-3</v>
      </c>
      <c r="P16" s="48">
        <f t="shared" ref="P16:S16" si="26">+P15/P2</f>
        <v>5.6585016764552328E-3</v>
      </c>
      <c r="Q16" s="48">
        <f t="shared" si="26"/>
        <v>1.3957170786639507E-3</v>
      </c>
      <c r="R16" s="48">
        <f t="shared" si="26"/>
        <v>2.1298679814864559E-2</v>
      </c>
      <c r="S16" s="48">
        <f t="shared" si="26"/>
        <v>-9.6293206040318062E-4</v>
      </c>
      <c r="T16" s="48">
        <f t="shared" ref="T16:Y16" si="27">+T15/T2</f>
        <v>1.9345529515514933E-2</v>
      </c>
      <c r="U16" s="48">
        <f t="shared" si="27"/>
        <v>1.2301961791797237E-2</v>
      </c>
      <c r="V16" s="48">
        <f t="shared" si="27"/>
        <v>8.1709903214588469E-3</v>
      </c>
      <c r="W16" s="48">
        <f t="shared" si="27"/>
        <v>2.7252974279292311E-2</v>
      </c>
      <c r="X16" s="48">
        <f t="shared" si="27"/>
        <v>3.7021340790544715E-3</v>
      </c>
      <c r="Y16" s="48">
        <f t="shared" si="27"/>
        <v>1.7185831299637327E-2</v>
      </c>
      <c r="Z16" s="48">
        <f t="shared" ref="Z16" si="28">+Z15/Z2</f>
        <v>1.5751062175888793E-2</v>
      </c>
    </row>
    <row r="17" spans="1:29" s="46" customFormat="1" x14ac:dyDescent="0.3">
      <c r="A17" s="60" t="s">
        <v>32</v>
      </c>
      <c r="B17" s="50">
        <v>35.003999999999998</v>
      </c>
      <c r="C17" s="50">
        <v>17.491</v>
      </c>
      <c r="D17" s="50">
        <v>27.719140000000007</v>
      </c>
      <c r="E17" s="50">
        <v>34.03622399999999</v>
      </c>
      <c r="F17" s="50">
        <f t="shared" ref="F17:F21" si="29">+SUM(B17:E17)</f>
        <v>114.25036399999999</v>
      </c>
      <c r="G17" s="50">
        <v>25.271955999999999</v>
      </c>
      <c r="H17" s="50">
        <v>4.949022000000002</v>
      </c>
      <c r="I17" s="50">
        <v>-0.8709430000000048</v>
      </c>
      <c r="J17" s="50">
        <v>2.1021780000000025</v>
      </c>
      <c r="K17" s="50">
        <f t="shared" si="0"/>
        <v>31.452213</v>
      </c>
      <c r="L17" s="50">
        <v>21.890361000000002</v>
      </c>
      <c r="M17" s="50">
        <v>20.485638999999999</v>
      </c>
      <c r="N17" s="50">
        <v>66.871272000000005</v>
      </c>
      <c r="O17" s="50">
        <v>56.112900000000003</v>
      </c>
      <c r="P17" s="50">
        <f>+SUM(L17:O17)</f>
        <v>165.36017200000001</v>
      </c>
      <c r="Q17" s="50">
        <v>128.54599999999999</v>
      </c>
      <c r="R17" s="50">
        <v>88.523449000000014</v>
      </c>
      <c r="S17" s="50">
        <v>133.903989</v>
      </c>
      <c r="T17" s="50">
        <v>135.73500000000001</v>
      </c>
      <c r="U17" s="50">
        <f t="shared" ref="U17:U22" si="30">+SUM(Q17:T17)</f>
        <v>486.708438</v>
      </c>
      <c r="V17" s="50">
        <v>123.987852</v>
      </c>
      <c r="W17" s="50">
        <v>281.86814300000003</v>
      </c>
      <c r="X17" s="50">
        <v>362.92091999999997</v>
      </c>
      <c r="Y17" s="50">
        <v>482.77859799999999</v>
      </c>
      <c r="Z17" s="50">
        <f t="shared" ref="Z17:Z22" si="31">+SUM(V17:Y17)</f>
        <v>1251.5555129999998</v>
      </c>
    </row>
    <row r="18" spans="1:29" s="46" customFormat="1" x14ac:dyDescent="0.3">
      <c r="A18" s="60" t="s">
        <v>33</v>
      </c>
      <c r="B18" s="10">
        <v>-51.154000000000003</v>
      </c>
      <c r="C18" s="10">
        <v>-53.673999999999999</v>
      </c>
      <c r="D18" s="10">
        <v>-54.880581000000014</v>
      </c>
      <c r="E18" s="10">
        <v>-40.372294000000011</v>
      </c>
      <c r="F18" s="10">
        <f t="shared" si="29"/>
        <v>-200.08087500000002</v>
      </c>
      <c r="G18" s="10">
        <v>-36.262088000000006</v>
      </c>
      <c r="H18" s="10">
        <v>-12.905832</v>
      </c>
      <c r="I18" s="10">
        <v>-13.734483999999993</v>
      </c>
      <c r="J18" s="10">
        <v>-15.353640000000008</v>
      </c>
      <c r="K18" s="10">
        <f t="shared" si="0"/>
        <v>-78.256044000000017</v>
      </c>
      <c r="L18" s="10">
        <v>-34.341000000000001</v>
      </c>
      <c r="M18" s="10">
        <v>-37.849000000000004</v>
      </c>
      <c r="N18" s="10">
        <v>-78.286119999999997</v>
      </c>
      <c r="O18" s="10">
        <f>(-82352.5)/1000</f>
        <v>-82.352500000000006</v>
      </c>
      <c r="P18" s="10">
        <f t="shared" si="1"/>
        <v>-232.82862</v>
      </c>
      <c r="Q18" s="10">
        <f>-175.878</f>
        <v>-175.87799999999999</v>
      </c>
      <c r="R18" s="10">
        <v>-86.531295999999998</v>
      </c>
      <c r="S18" s="10">
        <v>-153.10014999999999</v>
      </c>
      <c r="T18" s="10">
        <f>-118.659</f>
        <v>-118.65900000000001</v>
      </c>
      <c r="U18" s="10">
        <f t="shared" si="30"/>
        <v>-534.16844600000002</v>
      </c>
      <c r="V18" s="10">
        <v>-140.14737700000001</v>
      </c>
      <c r="W18" s="10">
        <v>-317.72332400000005</v>
      </c>
      <c r="X18" s="10">
        <v>-509.71317900000003</v>
      </c>
      <c r="Y18" s="10">
        <v>-397.30089500000003</v>
      </c>
      <c r="Z18" s="10">
        <f t="shared" si="31"/>
        <v>-1364.8847750000002</v>
      </c>
    </row>
    <row r="19" spans="1:29" s="46" customFormat="1" x14ac:dyDescent="0.3">
      <c r="A19" s="61" t="s">
        <v>34</v>
      </c>
      <c r="B19" s="62">
        <f>+B17+B18</f>
        <v>-16.150000000000006</v>
      </c>
      <c r="C19" s="62">
        <f t="shared" ref="C19:L19" si="32">+C17+C18</f>
        <v>-36.183</v>
      </c>
      <c r="D19" s="62">
        <f t="shared" si="32"/>
        <v>-27.161441000000007</v>
      </c>
      <c r="E19" s="62">
        <f t="shared" si="32"/>
        <v>-6.3360700000000207</v>
      </c>
      <c r="F19" s="62">
        <f t="shared" si="32"/>
        <v>-85.83051100000003</v>
      </c>
      <c r="G19" s="62">
        <f t="shared" si="32"/>
        <v>-10.990132000000006</v>
      </c>
      <c r="H19" s="62">
        <f t="shared" si="32"/>
        <v>-7.9568099999999982</v>
      </c>
      <c r="I19" s="62">
        <f t="shared" si="32"/>
        <v>-14.605426999999997</v>
      </c>
      <c r="J19" s="62">
        <f t="shared" si="32"/>
        <v>-13.251462000000005</v>
      </c>
      <c r="K19" s="62">
        <f t="shared" si="32"/>
        <v>-46.803831000000017</v>
      </c>
      <c r="L19" s="62">
        <f t="shared" si="32"/>
        <v>-12.450638999999999</v>
      </c>
      <c r="M19" s="62">
        <f t="shared" ref="M19:N19" si="33">+M17+M18</f>
        <v>-17.363361000000005</v>
      </c>
      <c r="N19" s="62">
        <f t="shared" si="33"/>
        <v>-11.414847999999992</v>
      </c>
      <c r="O19" s="62">
        <f t="shared" ref="O19:P19" si="34">+O17+O18</f>
        <v>-26.239600000000003</v>
      </c>
      <c r="P19" s="62">
        <f t="shared" si="34"/>
        <v>-67.468447999999995</v>
      </c>
      <c r="Q19" s="62">
        <f>+Q17+Q18</f>
        <v>-47.331999999999994</v>
      </c>
      <c r="R19" s="62">
        <f>+R17+R18</f>
        <v>1.992153000000016</v>
      </c>
      <c r="S19" s="62">
        <f>+S17+S18</f>
        <v>-19.196160999999989</v>
      </c>
      <c r="T19" s="62">
        <f>+T17+T18</f>
        <v>17.076000000000008</v>
      </c>
      <c r="U19" s="62">
        <f t="shared" si="30"/>
        <v>-47.460007999999959</v>
      </c>
      <c r="V19" s="62">
        <f>+V17+V18</f>
        <v>-16.159525000000002</v>
      </c>
      <c r="W19" s="62">
        <f>+W17+W18</f>
        <v>-35.855181000000016</v>
      </c>
      <c r="X19" s="62">
        <f>+X17+X18</f>
        <v>-146.79225900000006</v>
      </c>
      <c r="Y19" s="62">
        <f>+Y17+Y18</f>
        <v>85.477702999999963</v>
      </c>
      <c r="Z19" s="62">
        <f t="shared" si="31"/>
        <v>-113.32926200000011</v>
      </c>
    </row>
    <row r="20" spans="1:29" s="46" customFormat="1" x14ac:dyDescent="0.3">
      <c r="A20" s="61" t="s">
        <v>35</v>
      </c>
      <c r="B20" s="62">
        <f>+B15+B19</f>
        <v>-26.773000000000156</v>
      </c>
      <c r="C20" s="62">
        <f t="shared" ref="C20:L20" si="35">+C15+C19</f>
        <v>23.817000000000043</v>
      </c>
      <c r="D20" s="62">
        <f t="shared" si="35"/>
        <v>-63.390339000000125</v>
      </c>
      <c r="E20" s="62">
        <f t="shared" si="35"/>
        <v>12.673428000000278</v>
      </c>
      <c r="F20" s="62">
        <f t="shared" si="35"/>
        <v>-53.672910999999786</v>
      </c>
      <c r="G20" s="62">
        <f t="shared" si="35"/>
        <v>-18.190049111726275</v>
      </c>
      <c r="H20" s="62">
        <f t="shared" si="35"/>
        <v>64.74242082852976</v>
      </c>
      <c r="I20" s="62">
        <f t="shared" si="35"/>
        <v>-34.808223006679917</v>
      </c>
      <c r="J20" s="62">
        <f t="shared" si="35"/>
        <v>42.028733648369311</v>
      </c>
      <c r="K20" s="62">
        <f t="shared" si="35"/>
        <v>53.772882358493547</v>
      </c>
      <c r="L20" s="62">
        <f t="shared" si="35"/>
        <v>-9.5718119999995785</v>
      </c>
      <c r="M20" s="62">
        <f t="shared" ref="M20" si="36">+M15+M19</f>
        <v>59.157863999999016</v>
      </c>
      <c r="N20" s="62">
        <f t="shared" ref="N20:T20" si="37">+N15+N19</f>
        <v>-8.1868009999991251</v>
      </c>
      <c r="O20" s="62">
        <f t="shared" si="37"/>
        <v>-31.810109999999661</v>
      </c>
      <c r="P20" s="62">
        <f t="shared" si="37"/>
        <v>9.5891410000008932</v>
      </c>
      <c r="Q20" s="62">
        <f t="shared" si="37"/>
        <v>-41.464470999999442</v>
      </c>
      <c r="R20" s="62">
        <f t="shared" si="37"/>
        <v>131.80854700000145</v>
      </c>
      <c r="S20" s="62">
        <f t="shared" si="37"/>
        <v>-22.728339000000219</v>
      </c>
      <c r="T20" s="62">
        <f t="shared" si="37"/>
        <v>126.03600000000041</v>
      </c>
      <c r="U20" s="62">
        <f t="shared" si="30"/>
        <v>193.65173700000221</v>
      </c>
      <c r="V20" s="62">
        <f>+V15+V19</f>
        <v>28.964417999999291</v>
      </c>
      <c r="W20" s="62">
        <f>+W15+W19</f>
        <v>184.11162992406463</v>
      </c>
      <c r="X20" s="62">
        <f>+X15+X19</f>
        <v>-127.73651600000035</v>
      </c>
      <c r="Y20" s="62">
        <f>+Y15+Y19</f>
        <v>217.76302500000017</v>
      </c>
      <c r="Z20" s="62">
        <f t="shared" si="31"/>
        <v>303.10255692406372</v>
      </c>
    </row>
    <row r="21" spans="1:29" s="46" customFormat="1" x14ac:dyDescent="0.3">
      <c r="A21" s="60" t="s">
        <v>36</v>
      </c>
      <c r="B21" s="10">
        <v>5.0979999999999999</v>
      </c>
      <c r="C21" s="10">
        <v>-6.4249999999999998</v>
      </c>
      <c r="D21" s="10">
        <v>11.150082000000001</v>
      </c>
      <c r="E21" s="10">
        <v>-6.8848980000000006</v>
      </c>
      <c r="F21" s="10">
        <f t="shared" si="29"/>
        <v>2.9381840000000006</v>
      </c>
      <c r="G21" s="10">
        <v>6.0018919999999998</v>
      </c>
      <c r="H21" s="10">
        <v>-15.557</v>
      </c>
      <c r="I21" s="10">
        <v>4.1214710000000006</v>
      </c>
      <c r="J21" s="10">
        <v>-37.338746</v>
      </c>
      <c r="K21" s="10">
        <f>+SUM(G21:J21)</f>
        <v>-42.772382999999998</v>
      </c>
      <c r="L21" s="10">
        <v>0.55800000000000005</v>
      </c>
      <c r="M21" s="10">
        <v>-13.275</v>
      </c>
      <c r="N21" s="10">
        <v>-9.8603609999999993</v>
      </c>
      <c r="O21" s="10">
        <f>(-6300)/1000</f>
        <v>-6.3</v>
      </c>
      <c r="P21" s="10">
        <f t="shared" si="1"/>
        <v>-28.877361000000001</v>
      </c>
      <c r="Q21" s="10">
        <v>-10.122999999999999</v>
      </c>
      <c r="R21" s="10">
        <v>-29.256</v>
      </c>
      <c r="S21" s="10">
        <v>3.9109150000000001</v>
      </c>
      <c r="T21" s="10">
        <f>-31.352</f>
        <v>-31.352</v>
      </c>
      <c r="U21" s="10">
        <f t="shared" si="30"/>
        <v>-66.820084999999992</v>
      </c>
      <c r="V21" s="10">
        <v>-13.792014</v>
      </c>
      <c r="W21" s="10">
        <v>-19.302799999999998</v>
      </c>
      <c r="X21" s="10">
        <v>-12.294</v>
      </c>
      <c r="Y21" s="10">
        <v>-3.7657470000000002</v>
      </c>
      <c r="Z21" s="10">
        <f t="shared" si="31"/>
        <v>-49.154560999999994</v>
      </c>
    </row>
    <row r="22" spans="1:29" s="46" customFormat="1" x14ac:dyDescent="0.3">
      <c r="A22" s="61" t="s">
        <v>37</v>
      </c>
      <c r="B22" s="62">
        <f>+B20+B21</f>
        <v>-21.675000000000157</v>
      </c>
      <c r="C22" s="62">
        <f t="shared" ref="C22:L22" si="38">+C20+C21</f>
        <v>17.392000000000042</v>
      </c>
      <c r="D22" s="62">
        <f t="shared" si="38"/>
        <v>-52.240257000000128</v>
      </c>
      <c r="E22" s="62">
        <f t="shared" si="38"/>
        <v>5.7885300000002777</v>
      </c>
      <c r="F22" s="62">
        <f t="shared" si="38"/>
        <v>-50.734726999999786</v>
      </c>
      <c r="G22" s="62">
        <f t="shared" si="38"/>
        <v>-12.188157111726275</v>
      </c>
      <c r="H22" s="62">
        <f t="shared" si="38"/>
        <v>49.185420828529757</v>
      </c>
      <c r="I22" s="62">
        <f t="shared" si="38"/>
        <v>-30.686752006679917</v>
      </c>
      <c r="J22" s="62">
        <f t="shared" si="38"/>
        <v>4.6899876483693106</v>
      </c>
      <c r="K22" s="62">
        <f t="shared" si="38"/>
        <v>11.000499358493549</v>
      </c>
      <c r="L22" s="62">
        <f t="shared" si="38"/>
        <v>-9.0138119999995787</v>
      </c>
      <c r="M22" s="62">
        <f t="shared" ref="M22:T22" si="39">+M20+M21</f>
        <v>45.882863999999017</v>
      </c>
      <c r="N22" s="62">
        <f t="shared" si="39"/>
        <v>-18.047161999999126</v>
      </c>
      <c r="O22" s="62">
        <f t="shared" si="39"/>
        <v>-38.110109999999658</v>
      </c>
      <c r="P22" s="62">
        <f t="shared" si="39"/>
        <v>-19.288219999999107</v>
      </c>
      <c r="Q22" s="62">
        <f t="shared" si="39"/>
        <v>-51.587470999999439</v>
      </c>
      <c r="R22" s="62">
        <f t="shared" si="39"/>
        <v>102.55254700000145</v>
      </c>
      <c r="S22" s="62">
        <f t="shared" si="39"/>
        <v>-18.817424000000219</v>
      </c>
      <c r="T22" s="62">
        <f t="shared" si="39"/>
        <v>94.68400000000041</v>
      </c>
      <c r="U22" s="62">
        <f t="shared" si="30"/>
        <v>126.83165200000221</v>
      </c>
      <c r="V22" s="62">
        <f>+V20+V21</f>
        <v>15.172403999999291</v>
      </c>
      <c r="W22" s="62">
        <f>+W20+W21</f>
        <v>164.80882992406464</v>
      </c>
      <c r="X22" s="62">
        <f>+X20+X21</f>
        <v>-140.03051600000035</v>
      </c>
      <c r="Y22" s="62">
        <f>+Y20+Y21</f>
        <v>213.99727800000016</v>
      </c>
      <c r="Z22" s="62">
        <f t="shared" si="31"/>
        <v>253.94799592406375</v>
      </c>
    </row>
    <row r="23" spans="1:29" s="46" customFormat="1" x14ac:dyDescent="0.3">
      <c r="A23" s="64" t="s">
        <v>38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9" s="46" customFormat="1" x14ac:dyDescent="0.3">
      <c r="A24" s="61" t="s">
        <v>39</v>
      </c>
      <c r="B24" s="62">
        <f>+B10</f>
        <v>4.6529999999998495</v>
      </c>
      <c r="C24" s="62">
        <f t="shared" ref="C24:K24" si="40">+C10</f>
        <v>77.109000000000037</v>
      </c>
      <c r="D24" s="62">
        <f t="shared" si="40"/>
        <v>-20.050566000000117</v>
      </c>
      <c r="E24" s="62">
        <f t="shared" si="40"/>
        <v>42.129655000000298</v>
      </c>
      <c r="F24" s="62">
        <f t="shared" si="40"/>
        <v>103.84108900000024</v>
      </c>
      <c r="G24" s="62">
        <f t="shared" si="40"/>
        <v>10.51106188827373</v>
      </c>
      <c r="H24" s="62">
        <f t="shared" si="40"/>
        <v>91.155539828529754</v>
      </c>
      <c r="I24" s="62">
        <f t="shared" si="40"/>
        <v>-0.75221900667992259</v>
      </c>
      <c r="J24" s="62">
        <f t="shared" si="40"/>
        <v>76.141108648369311</v>
      </c>
      <c r="K24" s="62">
        <f t="shared" si="40"/>
        <v>177.05549135849355</v>
      </c>
      <c r="L24" s="62">
        <f>+L10</f>
        <v>29.315487000000417</v>
      </c>
      <c r="M24" s="62">
        <f>+M10</f>
        <v>105.45524499999902</v>
      </c>
      <c r="N24" s="62">
        <f>+N10</f>
        <v>31.171127000000865</v>
      </c>
      <c r="O24" s="62">
        <f>+O10</f>
        <v>83.983900000000347</v>
      </c>
      <c r="P24" s="62">
        <f t="shared" ref="P24" si="41">+P10</f>
        <v>249.92575900000088</v>
      </c>
      <c r="Q24" s="62">
        <f>+Q10</f>
        <v>38.496000000000549</v>
      </c>
      <c r="R24" s="62">
        <f>+R10</f>
        <v>164.42472500000144</v>
      </c>
      <c r="S24" s="62">
        <f>+S10</f>
        <v>32.341070999999772</v>
      </c>
      <c r="T24" s="62">
        <f>+T10</f>
        <v>146.15100000000041</v>
      </c>
      <c r="U24" s="62">
        <f>+SUM(Q24:T24)</f>
        <v>381.41279600000217</v>
      </c>
      <c r="V24" s="62">
        <f>+V10</f>
        <v>81.208850999999299</v>
      </c>
      <c r="W24" s="62">
        <f>+W10</f>
        <v>259.73704892406465</v>
      </c>
      <c r="X24" s="62">
        <f>+X10</f>
        <v>60.405014999999707</v>
      </c>
      <c r="Y24" s="62">
        <f>+Y10</f>
        <v>189.62365600000021</v>
      </c>
      <c r="Z24" s="62">
        <f>+SUM(V24:Y24)</f>
        <v>590.97457092406387</v>
      </c>
    </row>
    <row r="25" spans="1:29" s="46" customFormat="1" x14ac:dyDescent="0.3">
      <c r="A25" s="60" t="s">
        <v>40</v>
      </c>
      <c r="B25" s="10">
        <v>0.27200000000000002</v>
      </c>
      <c r="C25" s="10">
        <v>0.20300000000000001</v>
      </c>
      <c r="D25" s="10">
        <v>10.704587999999999</v>
      </c>
      <c r="E25" s="10">
        <v>15.579000000000001</v>
      </c>
      <c r="F25" s="10">
        <f>+SUM(B25:E25)</f>
        <v>26.758588</v>
      </c>
      <c r="G25" s="10">
        <v>2.8170000000000002</v>
      </c>
      <c r="H25" s="10">
        <v>0.61699999999999999</v>
      </c>
      <c r="I25" s="10">
        <v>6.1006730454097005</v>
      </c>
      <c r="J25" s="10">
        <v>1.5509827899999999</v>
      </c>
      <c r="K25" s="10">
        <f t="shared" si="0"/>
        <v>11.0856558354097</v>
      </c>
      <c r="L25" s="10">
        <v>6.4660000000000002</v>
      </c>
      <c r="M25" s="10">
        <v>18.81737</v>
      </c>
      <c r="N25" s="10">
        <v>3.1360000000000001</v>
      </c>
      <c r="O25" s="10">
        <v>13.896700000000001</v>
      </c>
      <c r="P25" s="10">
        <f>+SUM(L25:O25)</f>
        <v>42.316070000000003</v>
      </c>
      <c r="Q25" s="10">
        <v>2.105</v>
      </c>
      <c r="R25" s="10">
        <v>6.7625013000000003</v>
      </c>
      <c r="S25" s="10">
        <v>31.611955000000002</v>
      </c>
      <c r="T25" s="10">
        <v>-8.9909999999999997</v>
      </c>
      <c r="U25" s="10">
        <f>+SUM(Q25:T25)</f>
        <v>31.488456300000003</v>
      </c>
      <c r="V25" s="10">
        <v>11.819983000000001</v>
      </c>
      <c r="W25" s="10">
        <v>-3.8899036462950027</v>
      </c>
      <c r="X25" s="10">
        <v>20.958597756294999</v>
      </c>
      <c r="Y25" s="10">
        <v>35.036999999999999</v>
      </c>
      <c r="Z25" s="10">
        <f>+SUM(V25:Y25)</f>
        <v>63.925677109999995</v>
      </c>
    </row>
    <row r="26" spans="1:29" s="46" customFormat="1" x14ac:dyDescent="0.3">
      <c r="A26" s="58" t="s">
        <v>41</v>
      </c>
      <c r="B26" s="59">
        <f>+B24+B25</f>
        <v>4.9249999999998497</v>
      </c>
      <c r="C26" s="59">
        <f t="shared" ref="C26:L26" si="42">+C24+C25</f>
        <v>77.31200000000004</v>
      </c>
      <c r="D26" s="59">
        <f t="shared" si="42"/>
        <v>-9.3459780000001178</v>
      </c>
      <c r="E26" s="59">
        <f t="shared" si="42"/>
        <v>57.708655000000299</v>
      </c>
      <c r="F26" s="59">
        <f t="shared" si="42"/>
        <v>130.59967700000024</v>
      </c>
      <c r="G26" s="59">
        <f t="shared" si="42"/>
        <v>13.32806188827373</v>
      </c>
      <c r="H26" s="59">
        <f t="shared" si="42"/>
        <v>91.772539828529759</v>
      </c>
      <c r="I26" s="59">
        <f t="shared" si="42"/>
        <v>5.3484540387297779</v>
      </c>
      <c r="J26" s="59">
        <f t="shared" si="42"/>
        <v>77.692091438369317</v>
      </c>
      <c r="K26" s="59">
        <f t="shared" si="42"/>
        <v>188.14114719390327</v>
      </c>
      <c r="L26" s="59">
        <f t="shared" si="42"/>
        <v>35.781487000000418</v>
      </c>
      <c r="M26" s="59">
        <f>+M24+M25</f>
        <v>124.27261499999902</v>
      </c>
      <c r="N26" s="59">
        <f t="shared" ref="N26" si="43">+N24+N25</f>
        <v>34.307127000000868</v>
      </c>
      <c r="O26" s="59">
        <f t="shared" ref="O26:T26" si="44">+O24+O25</f>
        <v>97.880600000000342</v>
      </c>
      <c r="P26" s="59">
        <f t="shared" si="44"/>
        <v>292.24182900000091</v>
      </c>
      <c r="Q26" s="59">
        <f t="shared" si="44"/>
        <v>40.601000000000546</v>
      </c>
      <c r="R26" s="59">
        <f t="shared" si="44"/>
        <v>171.18722630000144</v>
      </c>
      <c r="S26" s="59">
        <f t="shared" si="44"/>
        <v>63.953025999999774</v>
      </c>
      <c r="T26" s="59">
        <f t="shared" si="44"/>
        <v>137.16000000000042</v>
      </c>
      <c r="U26" s="59">
        <f>+SUM(Q26:T26)</f>
        <v>412.90125230000217</v>
      </c>
      <c r="V26" s="59">
        <f t="shared" ref="V26" si="45">+V24+V25</f>
        <v>93.028833999999307</v>
      </c>
      <c r="W26" s="59">
        <f>+W24+W25</f>
        <v>255.84714527776964</v>
      </c>
      <c r="X26" s="59">
        <f>+X24+X25</f>
        <v>81.363612756294714</v>
      </c>
      <c r="Y26" s="59">
        <f>+Y24+Y25</f>
        <v>224.66065600000022</v>
      </c>
      <c r="Z26" s="59">
        <f>+SUM(V26:Y26)</f>
        <v>654.90024803406391</v>
      </c>
    </row>
    <row r="27" spans="1:29" s="46" customFormat="1" x14ac:dyDescent="0.3">
      <c r="A27" s="47" t="s">
        <v>42</v>
      </c>
      <c r="B27" s="51">
        <f>+B26/B5</f>
        <v>1.8253991786629748E-2</v>
      </c>
      <c r="C27" s="51">
        <f t="shared" ref="C27:L27" si="46">+C26/C5</f>
        <v>0.21683050300795118</v>
      </c>
      <c r="D27" s="51">
        <f t="shared" si="46"/>
        <v>-4.1035743551553719E-2</v>
      </c>
      <c r="E27" s="51">
        <f t="shared" si="46"/>
        <v>0.15956381640486278</v>
      </c>
      <c r="F27" s="51">
        <f t="shared" si="46"/>
        <v>0.10742082266300323</v>
      </c>
      <c r="G27" s="51">
        <f t="shared" si="46"/>
        <v>4.303051893955244E-2</v>
      </c>
      <c r="H27" s="51">
        <f>+H26/H5</f>
        <v>0.22519272992658262</v>
      </c>
      <c r="I27" s="51">
        <f t="shared" si="46"/>
        <v>1.7261719763868762E-2</v>
      </c>
      <c r="J27" s="51">
        <f t="shared" si="46"/>
        <v>0.16926412160750456</v>
      </c>
      <c r="K27" s="51">
        <f t="shared" si="46"/>
        <v>0.12659992086575336</v>
      </c>
      <c r="L27" s="51">
        <f t="shared" si="46"/>
        <v>9.0527947701573047E-2</v>
      </c>
      <c r="M27" s="51">
        <f>+M26/M5</f>
        <v>0.25170061179460868</v>
      </c>
      <c r="N27" s="51">
        <f>+N26/N5</f>
        <v>8.7263081971949694E-2</v>
      </c>
      <c r="O27" s="51">
        <f>+O26/O5</f>
        <v>0.18587997199504136</v>
      </c>
      <c r="P27" s="51">
        <f t="shared" ref="P27:S27" si="47">+P26/P5</f>
        <v>0.16157464892639917</v>
      </c>
      <c r="Q27" s="51">
        <f t="shared" si="47"/>
        <v>7.8805371055462287E-2</v>
      </c>
      <c r="R27" s="51">
        <f t="shared" si="47"/>
        <v>0.25710000249324672</v>
      </c>
      <c r="S27" s="51">
        <f t="shared" si="47"/>
        <v>0.12885843775509184</v>
      </c>
      <c r="T27" s="51">
        <f t="shared" ref="T27:Y27" si="48">+T26/T5</f>
        <v>0.205503157610854</v>
      </c>
      <c r="U27" s="51">
        <f t="shared" si="48"/>
        <v>0.17609346845948051</v>
      </c>
      <c r="V27" s="51">
        <f t="shared" si="48"/>
        <v>0.14651567782996844</v>
      </c>
      <c r="W27" s="51">
        <f t="shared" si="48"/>
        <v>0.31523125715805445</v>
      </c>
      <c r="X27" s="51">
        <f t="shared" si="48"/>
        <v>0.12677962384818084</v>
      </c>
      <c r="Y27" s="51">
        <f t="shared" si="48"/>
        <v>0.23613256665568244</v>
      </c>
      <c r="Z27" s="51">
        <f t="shared" ref="Z27" si="49">+Z26/Z5</f>
        <v>0.21544557481204626</v>
      </c>
    </row>
    <row r="28" spans="1:29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80"/>
      <c r="P28" s="15"/>
      <c r="Q28" s="80"/>
      <c r="R28" s="80"/>
      <c r="S28" s="80"/>
      <c r="T28" s="80"/>
      <c r="U28" s="80"/>
      <c r="V28" s="80"/>
      <c r="W28" s="80"/>
      <c r="Z28" s="80"/>
    </row>
    <row r="29" spans="1:29" x14ac:dyDescent="0.3">
      <c r="A29" s="1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82"/>
      <c r="M29" s="82"/>
      <c r="N29" s="83"/>
      <c r="O29" s="84"/>
      <c r="P29" s="85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</row>
    <row r="30" spans="1:29" x14ac:dyDescent="0.3">
      <c r="A30" s="1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85"/>
      <c r="M30" s="83"/>
      <c r="N30" s="83"/>
      <c r="O30" s="83"/>
      <c r="P30" s="85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</row>
    <row r="31" spans="1:29" x14ac:dyDescent="0.3">
      <c r="A31" s="1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86"/>
      <c r="M31" s="83"/>
      <c r="N31" s="83"/>
      <c r="O31" s="83"/>
      <c r="P31" s="86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1:29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 spans="1:29" x14ac:dyDescent="0.3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7"/>
      <c r="M33" s="83"/>
      <c r="N33" s="83"/>
      <c r="O33" s="83"/>
      <c r="P33" s="87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</row>
    <row r="34" spans="1:29" x14ac:dyDescent="0.3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7"/>
      <c r="M34" s="83"/>
      <c r="N34" s="83"/>
      <c r="O34" s="83"/>
      <c r="P34" s="87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1:29" x14ac:dyDescent="0.3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7"/>
      <c r="M35" s="83"/>
      <c r="N35" s="83"/>
      <c r="O35" s="83"/>
      <c r="P35" s="87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spans="1:29" x14ac:dyDescent="0.3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7"/>
      <c r="M36" s="83"/>
      <c r="N36" s="83"/>
      <c r="O36" s="83"/>
      <c r="P36" s="87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spans="1:29" x14ac:dyDescent="0.3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87"/>
      <c r="M37" s="83"/>
      <c r="N37" s="83"/>
      <c r="O37" s="83"/>
      <c r="P37" s="87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1:29" x14ac:dyDescent="0.3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87"/>
      <c r="M38" s="83"/>
      <c r="N38" s="83"/>
      <c r="O38" s="83"/>
      <c r="P38" s="87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spans="1:29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</row>
    <row r="40" spans="1:29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</row>
    <row r="41" spans="1:29" x14ac:dyDescent="0.3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7"/>
      <c r="M41" s="83"/>
      <c r="N41" s="83"/>
      <c r="O41" s="83"/>
      <c r="P41" s="87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</row>
    <row r="42" spans="1:29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5"/>
      <c r="N42" s="15"/>
      <c r="O42" s="15"/>
      <c r="P42" s="16"/>
    </row>
    <row r="43" spans="1:29" x14ac:dyDescent="0.3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5"/>
      <c r="N43" s="15"/>
      <c r="O43" s="15"/>
      <c r="P43" s="16"/>
    </row>
    <row r="44" spans="1:29" x14ac:dyDescent="0.3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5"/>
      <c r="N44" s="15"/>
      <c r="O44" s="15"/>
      <c r="P44" s="16"/>
    </row>
    <row r="45" spans="1:29" x14ac:dyDescent="0.3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5"/>
      <c r="N45" s="15"/>
      <c r="O45" s="15"/>
      <c r="P45" s="16"/>
    </row>
    <row r="46" spans="1:29" x14ac:dyDescent="0.3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5"/>
      <c r="N46" s="15"/>
      <c r="O46" s="15"/>
      <c r="P46" s="16"/>
    </row>
    <row r="47" spans="1:29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29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65" spans="13:13" x14ac:dyDescent="0.3">
      <c r="M65" s="15"/>
    </row>
    <row r="66" spans="13:13" x14ac:dyDescent="0.3">
      <c r="M66" s="15"/>
    </row>
    <row r="67" spans="13:13" x14ac:dyDescent="0.3">
      <c r="M67" s="15"/>
    </row>
    <row r="68" spans="13:13" x14ac:dyDescent="0.3">
      <c r="M68" s="15"/>
    </row>
    <row r="69" spans="13:13" x14ac:dyDescent="0.3">
      <c r="M69" s="15"/>
    </row>
    <row r="70" spans="13:13" x14ac:dyDescent="0.3">
      <c r="M70" s="15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F3 K3 P3 U3:U22 U24:U26 Z3:AA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S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21875" defaultRowHeight="14.4" x14ac:dyDescent="0.3"/>
  <cols>
    <col min="1" max="1" width="41.5546875" style="18" bestFit="1" customWidth="1"/>
    <col min="2" max="16" width="7.21875" style="18" bestFit="1" customWidth="1"/>
    <col min="17" max="16382" width="9.21875" style="18" customWidth="1"/>
    <col min="16383" max="16384" width="9.21875" style="18"/>
  </cols>
  <sheetData>
    <row r="1" spans="1:18" x14ac:dyDescent="0.3">
      <c r="A1" s="1" t="s">
        <v>43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148</v>
      </c>
      <c r="P1" s="8" t="s">
        <v>149</v>
      </c>
      <c r="Q1" s="8" t="s">
        <v>150</v>
      </c>
      <c r="R1" s="8" t="s">
        <v>155</v>
      </c>
    </row>
    <row r="2" spans="1:18" ht="13.2" customHeight="1" x14ac:dyDescent="0.3">
      <c r="A2" s="2" t="s">
        <v>44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A3" s="5" t="s">
        <v>45</v>
      </c>
      <c r="B3" s="11">
        <v>68.949615000000009</v>
      </c>
      <c r="C3" s="11">
        <v>74.878626999999994</v>
      </c>
      <c r="D3" s="11">
        <v>76.753622000000007</v>
      </c>
      <c r="E3" s="11">
        <v>75.97796000000001</v>
      </c>
      <c r="F3" s="11">
        <v>77.555841999999998</v>
      </c>
      <c r="G3" s="11">
        <v>78.77949000000001</v>
      </c>
      <c r="H3" s="11">
        <v>79.628153000000012</v>
      </c>
      <c r="I3" s="11">
        <v>75.84456200000001</v>
      </c>
      <c r="J3" s="11">
        <v>86.551856999999998</v>
      </c>
      <c r="K3" s="11">
        <v>88.646000000000001</v>
      </c>
      <c r="L3" s="11">
        <v>87.611453999999995</v>
      </c>
      <c r="M3" s="11">
        <v>86.547932000000003</v>
      </c>
      <c r="N3" s="11">
        <v>88.755676000000008</v>
      </c>
      <c r="O3" s="11">
        <v>86.935057</v>
      </c>
      <c r="P3" s="11">
        <v>94.491600000000005</v>
      </c>
      <c r="Q3" s="11">
        <v>92.680497000000003</v>
      </c>
      <c r="R3" s="11">
        <v>98.164987999999994</v>
      </c>
    </row>
    <row r="4" spans="1:18" x14ac:dyDescent="0.3">
      <c r="A4" s="5" t="s">
        <v>46</v>
      </c>
      <c r="B4" s="11">
        <v>40.361221</v>
      </c>
      <c r="C4" s="11">
        <v>37.446109999999997</v>
      </c>
      <c r="D4" s="11">
        <v>35.924480000000003</v>
      </c>
      <c r="E4" s="11">
        <v>33.850652000000004</v>
      </c>
      <c r="F4" s="11">
        <v>33.601472000000001</v>
      </c>
      <c r="G4" s="11">
        <v>31.901443999999998</v>
      </c>
      <c r="H4" s="11">
        <v>29.294459</v>
      </c>
      <c r="I4" s="11">
        <v>28.802737</v>
      </c>
      <c r="J4" s="11">
        <v>26.796945999999998</v>
      </c>
      <c r="K4" s="11">
        <v>28.890999999999998</v>
      </c>
      <c r="L4" s="11">
        <v>24.273173</v>
      </c>
      <c r="M4" s="11">
        <v>21.995723999999999</v>
      </c>
      <c r="N4" s="11">
        <v>18.514800999999999</v>
      </c>
      <c r="O4" s="11">
        <v>16.635435000000001</v>
      </c>
      <c r="P4" s="11">
        <v>14.709376000000001</v>
      </c>
      <c r="Q4" s="11">
        <v>12.861820999999999</v>
      </c>
      <c r="R4" s="11">
        <v>99.487054000000001</v>
      </c>
    </row>
    <row r="5" spans="1:18" x14ac:dyDescent="0.3">
      <c r="A5" s="5" t="s">
        <v>47</v>
      </c>
      <c r="B5" s="11">
        <v>83.324482999999987</v>
      </c>
      <c r="C5" s="11">
        <v>77.946388000000013</v>
      </c>
      <c r="D5" s="11">
        <v>73.293010999999993</v>
      </c>
      <c r="E5" s="11">
        <v>68.536704999999998</v>
      </c>
      <c r="F5" s="11">
        <v>66.108770000000007</v>
      </c>
      <c r="G5" s="11">
        <v>61.393828999999997</v>
      </c>
      <c r="H5" s="11">
        <v>78.441570999999996</v>
      </c>
      <c r="I5" s="11">
        <v>75.054422000000002</v>
      </c>
      <c r="J5" s="11">
        <v>69.809637000000009</v>
      </c>
      <c r="K5" s="11">
        <v>72.816000000000003</v>
      </c>
      <c r="L5" s="11">
        <v>68.114548999999997</v>
      </c>
      <c r="M5" s="11">
        <v>61.668949999999995</v>
      </c>
      <c r="N5" s="11">
        <v>60.379264000000006</v>
      </c>
      <c r="O5" s="11">
        <v>52.865127999999999</v>
      </c>
      <c r="P5" s="11">
        <v>175.78706</v>
      </c>
      <c r="Q5" s="11">
        <v>164.117649</v>
      </c>
      <c r="R5" s="11">
        <v>598.83148300000005</v>
      </c>
    </row>
    <row r="6" spans="1:18" x14ac:dyDescent="0.3">
      <c r="A6" s="5" t="s">
        <v>48</v>
      </c>
      <c r="B6" s="11">
        <v>1</v>
      </c>
      <c r="C6" s="11">
        <v>0.99999899999999997</v>
      </c>
      <c r="D6" s="11">
        <v>1</v>
      </c>
      <c r="E6" s="11">
        <v>0.99999899999999997</v>
      </c>
      <c r="F6" s="11">
        <v>1</v>
      </c>
      <c r="G6" s="11">
        <v>1.0000009999999999</v>
      </c>
      <c r="H6" s="11">
        <v>1.0000009999999999</v>
      </c>
      <c r="I6" s="11">
        <v>1.0000009999999999</v>
      </c>
      <c r="J6" s="11">
        <v>1.0000009999999999</v>
      </c>
      <c r="K6" s="11">
        <v>1</v>
      </c>
      <c r="L6" s="11">
        <v>2.3657880000000002</v>
      </c>
      <c r="M6" s="11">
        <v>2.3118560000000001</v>
      </c>
      <c r="N6" s="11">
        <v>2.2145509999999997</v>
      </c>
      <c r="O6" s="11">
        <v>2.1353330000000001</v>
      </c>
      <c r="P6" s="11">
        <v>2.0577179999999999</v>
      </c>
      <c r="Q6" s="11">
        <v>1.9706220000000001</v>
      </c>
      <c r="R6" s="11">
        <v>1.940547</v>
      </c>
    </row>
    <row r="7" spans="1:18" x14ac:dyDescent="0.3">
      <c r="A7" s="5" t="s">
        <v>49</v>
      </c>
      <c r="B7" s="11">
        <v>831.043993</v>
      </c>
      <c r="C7" s="11">
        <v>823.75651300000004</v>
      </c>
      <c r="D7" s="11">
        <v>827.74284999999998</v>
      </c>
      <c r="E7" s="11">
        <v>824.45066899999995</v>
      </c>
      <c r="F7" s="11">
        <v>840.300566</v>
      </c>
      <c r="G7" s="11">
        <v>840.13122900000008</v>
      </c>
      <c r="H7" s="11">
        <v>876.91964399999995</v>
      </c>
      <c r="I7" s="11">
        <v>889.27954099999999</v>
      </c>
      <c r="J7" s="11">
        <v>829.34079700000007</v>
      </c>
      <c r="K7" s="11">
        <v>874.69399999999996</v>
      </c>
      <c r="L7" s="11">
        <v>869.53288399999997</v>
      </c>
      <c r="M7" s="11">
        <v>869.97542199999998</v>
      </c>
      <c r="N7" s="11">
        <v>850.93291799999997</v>
      </c>
      <c r="O7" s="11">
        <v>846.00407900000005</v>
      </c>
      <c r="P7" s="11">
        <v>926.70081900000002</v>
      </c>
      <c r="Q7" s="11">
        <v>926.57379900000001</v>
      </c>
      <c r="R7" s="11">
        <v>2998.2576129999998</v>
      </c>
    </row>
    <row r="8" spans="1:18" x14ac:dyDescent="0.3">
      <c r="A8" s="5" t="s">
        <v>50</v>
      </c>
      <c r="B8" s="11">
        <v>0</v>
      </c>
      <c r="C8" s="11">
        <v>0</v>
      </c>
      <c r="D8" s="11">
        <v>49.911468999999997</v>
      </c>
      <c r="E8" s="11">
        <v>54.511693000000001</v>
      </c>
      <c r="F8" s="11">
        <v>29.416554999999999</v>
      </c>
      <c r="G8" s="11">
        <v>30.628550999999998</v>
      </c>
      <c r="H8" s="11">
        <v>16.831</v>
      </c>
      <c r="I8" s="11">
        <v>16.115431000000001</v>
      </c>
      <c r="J8" s="11">
        <v>23.195414</v>
      </c>
      <c r="K8" s="11">
        <v>36.026519999999998</v>
      </c>
      <c r="L8" s="11">
        <v>29.623000000000001</v>
      </c>
      <c r="M8" s="11">
        <v>36.010455999999998</v>
      </c>
      <c r="N8" s="11">
        <v>35.457999999999998</v>
      </c>
      <c r="O8" s="11">
        <v>37.566282000000001</v>
      </c>
      <c r="P8" s="11">
        <v>39.260598000000002</v>
      </c>
      <c r="Q8" s="11">
        <v>50.266641999999997</v>
      </c>
      <c r="R8" s="11">
        <v>81.201132999999999</v>
      </c>
    </row>
    <row r="9" spans="1:18" x14ac:dyDescent="0.3">
      <c r="A9" s="76" t="s">
        <v>51</v>
      </c>
      <c r="B9" s="76">
        <f t="shared" ref="B9:I9" si="0">+SUM(B3:B8)</f>
        <v>1024.679312</v>
      </c>
      <c r="C9" s="76">
        <f t="shared" si="0"/>
        <v>1015.027637</v>
      </c>
      <c r="D9" s="76">
        <f t="shared" si="0"/>
        <v>1064.6254319999998</v>
      </c>
      <c r="E9" s="76">
        <f t="shared" si="0"/>
        <v>1058.3276779999999</v>
      </c>
      <c r="F9" s="76">
        <f t="shared" si="0"/>
        <v>1047.983205</v>
      </c>
      <c r="G9" s="76">
        <f t="shared" si="0"/>
        <v>1043.8345440000001</v>
      </c>
      <c r="H9" s="76">
        <f t="shared" si="0"/>
        <v>1082.114828</v>
      </c>
      <c r="I9" s="76">
        <f t="shared" si="0"/>
        <v>1086.0966940000001</v>
      </c>
      <c r="J9" s="76">
        <f t="shared" ref="J9:R9" si="1">+SUM(J3:J8)</f>
        <v>1036.6946520000001</v>
      </c>
      <c r="K9" s="76">
        <f t="shared" si="1"/>
        <v>1102.0735199999999</v>
      </c>
      <c r="L9" s="76">
        <f t="shared" si="1"/>
        <v>1081.5208480000001</v>
      </c>
      <c r="M9" s="76">
        <f t="shared" si="1"/>
        <v>1078.51034</v>
      </c>
      <c r="N9" s="76">
        <f t="shared" si="1"/>
        <v>1056.25521</v>
      </c>
      <c r="O9" s="76">
        <f t="shared" si="1"/>
        <v>1042.141314</v>
      </c>
      <c r="P9" s="76">
        <f t="shared" si="1"/>
        <v>1253.0071710000002</v>
      </c>
      <c r="Q9" s="76">
        <f t="shared" si="1"/>
        <v>1248.4710300000002</v>
      </c>
      <c r="R9" s="76">
        <f t="shared" si="1"/>
        <v>3877.882818</v>
      </c>
    </row>
    <row r="10" spans="1:18" x14ac:dyDescent="0.3">
      <c r="A10" s="5" t="s">
        <v>52</v>
      </c>
      <c r="B10" s="11">
        <v>20.203799</v>
      </c>
      <c r="C10" s="11">
        <v>20.863392000000001</v>
      </c>
      <c r="D10" s="11">
        <v>23.151955999999998</v>
      </c>
      <c r="E10" s="11">
        <v>24.487428999999999</v>
      </c>
      <c r="F10" s="11">
        <v>24.728707999999997</v>
      </c>
      <c r="G10" s="11">
        <v>28.622320999999999</v>
      </c>
      <c r="H10" s="11">
        <v>37.192999999999998</v>
      </c>
      <c r="I10" s="11">
        <v>33.169180999999995</v>
      </c>
      <c r="J10" s="11">
        <v>35.414875000000002</v>
      </c>
      <c r="K10" s="11">
        <v>40.499000000000002</v>
      </c>
      <c r="L10" s="11">
        <v>39.057048000000002</v>
      </c>
      <c r="M10" s="11">
        <v>39.811371000000001</v>
      </c>
      <c r="N10" s="11">
        <v>38.624341000000001</v>
      </c>
      <c r="O10" s="11">
        <v>36.185817999999998</v>
      </c>
      <c r="P10" s="11">
        <v>43.087201999999998</v>
      </c>
      <c r="Q10" s="11">
        <v>43.136673000000002</v>
      </c>
      <c r="R10" s="11">
        <v>59.753237999999996</v>
      </c>
    </row>
    <row r="11" spans="1:18" x14ac:dyDescent="0.3">
      <c r="A11" s="5" t="s">
        <v>53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102.745852</v>
      </c>
      <c r="H11" s="11">
        <v>112.742</v>
      </c>
      <c r="I11" s="11">
        <v>120.460441</v>
      </c>
      <c r="J11" s="11">
        <v>118.291377</v>
      </c>
      <c r="K11" s="11">
        <v>127.593</v>
      </c>
      <c r="L11" s="11">
        <v>120.375455</v>
      </c>
      <c r="M11" s="11">
        <v>133.90402399999999</v>
      </c>
      <c r="N11" s="11">
        <v>120.051164</v>
      </c>
      <c r="O11" s="11">
        <v>107.46863400000001</v>
      </c>
      <c r="P11" s="11">
        <v>128.591047</v>
      </c>
      <c r="Q11" s="11">
        <v>118.81214999999999</v>
      </c>
      <c r="R11" s="11">
        <v>114.957615</v>
      </c>
    </row>
    <row r="12" spans="1:18" x14ac:dyDescent="0.3">
      <c r="A12" s="76" t="s">
        <v>54</v>
      </c>
      <c r="B12" s="76">
        <f t="shared" ref="B12:R12" si="2">+SUM(B10:B11)</f>
        <v>20.203799</v>
      </c>
      <c r="C12" s="76">
        <f t="shared" si="2"/>
        <v>20.863392000000001</v>
      </c>
      <c r="D12" s="76">
        <f t="shared" si="2"/>
        <v>23.151955999999998</v>
      </c>
      <c r="E12" s="76">
        <f t="shared" si="2"/>
        <v>24.487428999999999</v>
      </c>
      <c r="F12" s="76">
        <f t="shared" si="2"/>
        <v>24.728707999999997</v>
      </c>
      <c r="G12" s="76">
        <f t="shared" si="2"/>
        <v>131.36817300000001</v>
      </c>
      <c r="H12" s="76">
        <f t="shared" si="2"/>
        <v>149.935</v>
      </c>
      <c r="I12" s="76">
        <f t="shared" si="2"/>
        <v>153.62962199999998</v>
      </c>
      <c r="J12" s="76">
        <f t="shared" si="2"/>
        <v>153.70625200000001</v>
      </c>
      <c r="K12" s="76">
        <f t="shared" si="2"/>
        <v>168.09200000000001</v>
      </c>
      <c r="L12" s="76">
        <f t="shared" si="2"/>
        <v>159.432503</v>
      </c>
      <c r="M12" s="76">
        <f t="shared" si="2"/>
        <v>173.715395</v>
      </c>
      <c r="N12" s="76">
        <f t="shared" si="2"/>
        <v>158.67550499999999</v>
      </c>
      <c r="O12" s="76">
        <f t="shared" si="2"/>
        <v>143.65445199999999</v>
      </c>
      <c r="P12" s="76">
        <f t="shared" si="2"/>
        <v>171.67824899999999</v>
      </c>
      <c r="Q12" s="76">
        <f t="shared" si="2"/>
        <v>161.948823</v>
      </c>
      <c r="R12" s="76">
        <f t="shared" si="2"/>
        <v>174.71085299999999</v>
      </c>
    </row>
    <row r="13" spans="1:18" x14ac:dyDescent="0.3">
      <c r="A13" s="5" t="s">
        <v>153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36.015000000000001</v>
      </c>
      <c r="R13" s="11">
        <v>36.570794999999997</v>
      </c>
    </row>
    <row r="14" spans="1:18" x14ac:dyDescent="0.3">
      <c r="A14" s="76" t="s">
        <v>154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>
        <f>Q13</f>
        <v>36.015000000000001</v>
      </c>
      <c r="R14" s="76">
        <f>R13</f>
        <v>36.570794999999997</v>
      </c>
    </row>
    <row r="15" spans="1:18" x14ac:dyDescent="0.3">
      <c r="A15" s="5" t="s">
        <v>55</v>
      </c>
      <c r="B15" s="11">
        <v>4.7713590000000003</v>
      </c>
      <c r="C15" s="11">
        <v>7.0315919999999998</v>
      </c>
      <c r="D15" s="11">
        <v>10.963983000000001</v>
      </c>
      <c r="E15" s="11">
        <v>8.8129500000000007</v>
      </c>
      <c r="F15" s="11">
        <v>22.658455999999997</v>
      </c>
      <c r="G15" s="11">
        <v>17.147622999999999</v>
      </c>
      <c r="H15" s="11">
        <v>18.388999999999999</v>
      </c>
      <c r="I15" s="11">
        <v>21.754279</v>
      </c>
      <c r="J15" s="11">
        <v>25.617405999999999</v>
      </c>
      <c r="K15" s="11">
        <v>20.303000000000001</v>
      </c>
      <c r="L15" s="11">
        <v>21.692789000000001</v>
      </c>
      <c r="M15" s="11">
        <v>22.438931</v>
      </c>
      <c r="N15" s="11">
        <v>39.962097999999997</v>
      </c>
      <c r="O15" s="11">
        <v>36.434885000000001</v>
      </c>
      <c r="P15" s="11">
        <v>61.158999999999999</v>
      </c>
      <c r="Q15" s="11">
        <v>70.109536000000006</v>
      </c>
      <c r="R15" s="11">
        <v>68.574303999999998</v>
      </c>
    </row>
    <row r="16" spans="1:18" x14ac:dyDescent="0.3">
      <c r="A16" s="76" t="s">
        <v>56</v>
      </c>
      <c r="B16" s="76">
        <f t="shared" ref="B16:P16" si="3">+B15+B12+B9</f>
        <v>1049.6544699999999</v>
      </c>
      <c r="C16" s="76">
        <f t="shared" si="3"/>
        <v>1042.9226209999999</v>
      </c>
      <c r="D16" s="76">
        <f t="shared" si="3"/>
        <v>1098.7413709999998</v>
      </c>
      <c r="E16" s="76">
        <f t="shared" si="3"/>
        <v>1091.6280569999999</v>
      </c>
      <c r="F16" s="76">
        <f t="shared" si="3"/>
        <v>1095.370369</v>
      </c>
      <c r="G16" s="76">
        <f t="shared" si="3"/>
        <v>1192.35034</v>
      </c>
      <c r="H16" s="76">
        <f t="shared" si="3"/>
        <v>1250.4388280000001</v>
      </c>
      <c r="I16" s="76">
        <f t="shared" si="3"/>
        <v>1261.480595</v>
      </c>
      <c r="J16" s="76">
        <f t="shared" si="3"/>
        <v>1216.0183100000002</v>
      </c>
      <c r="K16" s="76">
        <f t="shared" si="3"/>
        <v>1290.4685199999999</v>
      </c>
      <c r="L16" s="76">
        <f t="shared" si="3"/>
        <v>1262.6461400000001</v>
      </c>
      <c r="M16" s="76">
        <f t="shared" si="3"/>
        <v>1274.6646660000001</v>
      </c>
      <c r="N16" s="76">
        <f t="shared" si="3"/>
        <v>1254.8928129999999</v>
      </c>
      <c r="O16" s="76">
        <f t="shared" si="3"/>
        <v>1222.2306509999999</v>
      </c>
      <c r="P16" s="76">
        <f t="shared" si="3"/>
        <v>1485.8444200000001</v>
      </c>
      <c r="Q16" s="76">
        <f>+Q15+Q12+Q9+Q14</f>
        <v>1516.5443890000004</v>
      </c>
      <c r="R16" s="76">
        <f>+R15+R12+R9+R14</f>
        <v>4157.7387699999999</v>
      </c>
    </row>
    <row r="17" spans="1:18" x14ac:dyDescent="0.3">
      <c r="A17" s="5" t="s">
        <v>57</v>
      </c>
      <c r="B17" s="11">
        <v>26.287227999999999</v>
      </c>
      <c r="C17" s="11">
        <v>23.594625000000001</v>
      </c>
      <c r="D17" s="11">
        <v>22.589007000000002</v>
      </c>
      <c r="E17" s="11">
        <v>23.071021999999999</v>
      </c>
      <c r="F17" s="11">
        <v>8.624664000000001</v>
      </c>
      <c r="G17" s="11">
        <v>15.417370999999999</v>
      </c>
      <c r="H17" s="11">
        <v>9.132147999999999</v>
      </c>
      <c r="I17" s="11">
        <v>18.773490000000002</v>
      </c>
      <c r="J17" s="11">
        <v>13.968069</v>
      </c>
      <c r="K17" s="11">
        <v>18.911000000000001</v>
      </c>
      <c r="L17" s="11">
        <v>19.016161</v>
      </c>
      <c r="M17" s="11">
        <v>13.390212999999999</v>
      </c>
      <c r="N17" s="11">
        <v>8.8458449999999988</v>
      </c>
      <c r="O17" s="11">
        <v>4.5415959999999993</v>
      </c>
      <c r="P17" s="11">
        <v>9.5910449999999994</v>
      </c>
      <c r="Q17" s="11">
        <v>5.4850560000000002</v>
      </c>
      <c r="R17" s="11">
        <v>2.8692959999999998</v>
      </c>
    </row>
    <row r="18" spans="1:18" x14ac:dyDescent="0.3">
      <c r="A18" s="5" t="s">
        <v>58</v>
      </c>
      <c r="B18" s="11">
        <v>1541.436246</v>
      </c>
      <c r="C18" s="11">
        <v>1131.42687</v>
      </c>
      <c r="D18" s="11">
        <v>2170.5133990000004</v>
      </c>
      <c r="E18" s="11">
        <v>1083.884847</v>
      </c>
      <c r="F18" s="11">
        <v>1875.962673</v>
      </c>
      <c r="G18" s="11">
        <v>1673.924675</v>
      </c>
      <c r="H18" s="11">
        <v>2872.270649</v>
      </c>
      <c r="I18" s="11">
        <v>1682.469587</v>
      </c>
      <c r="J18" s="11">
        <v>2553.5057980000001</v>
      </c>
      <c r="K18" s="11">
        <v>2397.6880000000001</v>
      </c>
      <c r="L18" s="11">
        <v>4030.6503829999997</v>
      </c>
      <c r="M18" s="11">
        <v>2528.6142209999998</v>
      </c>
      <c r="N18" s="11">
        <v>3393.4209999999998</v>
      </c>
      <c r="O18" s="11">
        <v>3170.2085480000001</v>
      </c>
      <c r="P18" s="11">
        <v>5218.1753680000002</v>
      </c>
      <c r="Q18" s="11">
        <v>3267.4354980000003</v>
      </c>
      <c r="R18" s="11">
        <v>4492.9689539999999</v>
      </c>
    </row>
    <row r="19" spans="1:18" x14ac:dyDescent="0.3">
      <c r="A19" s="5" t="s">
        <v>59</v>
      </c>
      <c r="B19" s="11">
        <v>60.048646999999995</v>
      </c>
      <c r="C19" s="11">
        <v>48.554413999999994</v>
      </c>
      <c r="D19" s="11">
        <v>51.578263</v>
      </c>
      <c r="E19" s="11">
        <v>58.546847</v>
      </c>
      <c r="F19" s="11">
        <v>75.997933000000003</v>
      </c>
      <c r="G19" s="11">
        <v>75.425284000000005</v>
      </c>
      <c r="H19" s="11">
        <v>94.189961999999994</v>
      </c>
      <c r="I19" s="11">
        <v>94.470584000000002</v>
      </c>
      <c r="J19" s="11">
        <v>156.326696</v>
      </c>
      <c r="K19" s="11">
        <v>158.124</v>
      </c>
      <c r="L19" s="11">
        <v>160.87116800000001</v>
      </c>
      <c r="M19" s="11">
        <v>188.159548</v>
      </c>
      <c r="N19" s="11">
        <v>263.34699999999998</v>
      </c>
      <c r="O19" s="11">
        <v>316.10294799999997</v>
      </c>
      <c r="P19" s="11">
        <v>639.19200000000001</v>
      </c>
      <c r="Q19" s="11">
        <v>604.38327800000002</v>
      </c>
      <c r="R19" s="11">
        <v>1421.4206449999999</v>
      </c>
    </row>
    <row r="20" spans="1:18" x14ac:dyDescent="0.3">
      <c r="A20" s="5" t="s">
        <v>151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>
        <v>1782</v>
      </c>
      <c r="R20" s="11">
        <v>0</v>
      </c>
    </row>
    <row r="21" spans="1:18" x14ac:dyDescent="0.3">
      <c r="A21" s="5" t="s">
        <v>60</v>
      </c>
      <c r="B21" s="11">
        <v>368.44242100000008</v>
      </c>
      <c r="C21" s="11">
        <v>76.440506999999982</v>
      </c>
      <c r="D21" s="11">
        <v>165.51189100000005</v>
      </c>
      <c r="E21" s="11">
        <v>33.8553899999999</v>
      </c>
      <c r="F21" s="11">
        <v>379.28178800000018</v>
      </c>
      <c r="G21" s="11">
        <v>84.034273000000042</v>
      </c>
      <c r="H21" s="11">
        <v>707.76451300000031</v>
      </c>
      <c r="I21" s="11">
        <v>40.118990999999923</v>
      </c>
      <c r="J21" s="11">
        <v>238.81663599999993</v>
      </c>
      <c r="K21" s="11">
        <v>330.43299999999999</v>
      </c>
      <c r="L21" s="11">
        <v>1689.3607920000004</v>
      </c>
      <c r="M21" s="11">
        <v>412.79393799999986</v>
      </c>
      <c r="N21" s="11">
        <v>1394.1196789999997</v>
      </c>
      <c r="O21" s="11">
        <v>962.05895000000021</v>
      </c>
      <c r="P21" s="11">
        <v>1414.6193640000001</v>
      </c>
      <c r="Q21" s="11">
        <v>796.28584999999998</v>
      </c>
      <c r="R21" s="11">
        <v>1216.6181939999999</v>
      </c>
    </row>
    <row r="22" spans="1:18" x14ac:dyDescent="0.3">
      <c r="A22" s="76" t="s">
        <v>61</v>
      </c>
      <c r="B22" s="76">
        <f t="shared" ref="B22:I22" si="4">+SUM(B17:B21)</f>
        <v>1996.2145420000002</v>
      </c>
      <c r="C22" s="76">
        <f t="shared" si="4"/>
        <v>1280.0164159999999</v>
      </c>
      <c r="D22" s="76">
        <f t="shared" si="4"/>
        <v>2410.1925600000004</v>
      </c>
      <c r="E22" s="76">
        <f t="shared" si="4"/>
        <v>1199.3581060000001</v>
      </c>
      <c r="F22" s="76">
        <f t="shared" si="4"/>
        <v>2339.8670580000003</v>
      </c>
      <c r="G22" s="76">
        <f t="shared" si="4"/>
        <v>1848.8016029999999</v>
      </c>
      <c r="H22" s="76">
        <f t="shared" si="4"/>
        <v>3683.3572720000002</v>
      </c>
      <c r="I22" s="76">
        <f t="shared" si="4"/>
        <v>1835.8326519999998</v>
      </c>
      <c r="J22" s="76">
        <f t="shared" ref="J22:O22" si="5">+SUM(J17:J21)</f>
        <v>2962.6171990000003</v>
      </c>
      <c r="K22" s="76">
        <f t="shared" si="5"/>
        <v>2905.1559999999999</v>
      </c>
      <c r="L22" s="76">
        <f t="shared" si="5"/>
        <v>5899.8985039999998</v>
      </c>
      <c r="M22" s="76">
        <f t="shared" si="5"/>
        <v>3142.9579199999998</v>
      </c>
      <c r="N22" s="76">
        <f t="shared" si="5"/>
        <v>5059.7335239999993</v>
      </c>
      <c r="O22" s="76">
        <f t="shared" si="5"/>
        <v>4452.9120420000008</v>
      </c>
      <c r="P22" s="76">
        <f t="shared" ref="P22:Q22" si="6">+SUM(P17:P21)</f>
        <v>7281.5777770000004</v>
      </c>
      <c r="Q22" s="76">
        <f t="shared" si="6"/>
        <v>6455.5896820000007</v>
      </c>
      <c r="R22" s="76">
        <f t="shared" ref="R22" si="7">+SUM(R17:R21)</f>
        <v>7133.8770889999996</v>
      </c>
    </row>
    <row r="23" spans="1:18" x14ac:dyDescent="0.3">
      <c r="A23" s="76" t="s">
        <v>62</v>
      </c>
      <c r="B23" s="76">
        <f t="shared" ref="B23:I23" si="8">+B22+B16</f>
        <v>3045.8690120000001</v>
      </c>
      <c r="C23" s="76">
        <f t="shared" si="8"/>
        <v>2322.9390370000001</v>
      </c>
      <c r="D23" s="76">
        <f t="shared" si="8"/>
        <v>3508.9339310000005</v>
      </c>
      <c r="E23" s="76">
        <f t="shared" si="8"/>
        <v>2290.986163</v>
      </c>
      <c r="F23" s="76">
        <f t="shared" si="8"/>
        <v>3435.237427</v>
      </c>
      <c r="G23" s="76">
        <f t="shared" si="8"/>
        <v>3041.1519429999998</v>
      </c>
      <c r="H23" s="76">
        <f t="shared" si="8"/>
        <v>4933.7961000000005</v>
      </c>
      <c r="I23" s="76">
        <f t="shared" si="8"/>
        <v>3097.313247</v>
      </c>
      <c r="J23" s="76">
        <f t="shared" ref="J23:O23" si="9">+J22+J16</f>
        <v>4178.6355090000006</v>
      </c>
      <c r="K23" s="76">
        <f t="shared" si="9"/>
        <v>4195.6245199999994</v>
      </c>
      <c r="L23" s="76">
        <f t="shared" si="9"/>
        <v>7162.5446439999996</v>
      </c>
      <c r="M23" s="76">
        <f t="shared" si="9"/>
        <v>4417.6225859999995</v>
      </c>
      <c r="N23" s="76">
        <f t="shared" si="9"/>
        <v>6314.6263369999997</v>
      </c>
      <c r="O23" s="76">
        <f t="shared" si="9"/>
        <v>5675.1426930000007</v>
      </c>
      <c r="P23" s="76">
        <f t="shared" ref="P23:Q23" si="10">+P22+P16</f>
        <v>8767.4221969999999</v>
      </c>
      <c r="Q23" s="76">
        <f t="shared" si="10"/>
        <v>7972.1340710000013</v>
      </c>
      <c r="R23" s="76">
        <f t="shared" ref="R23" si="11">+R22+R16</f>
        <v>11291.615859</v>
      </c>
    </row>
    <row r="24" spans="1:18" x14ac:dyDescent="0.3">
      <c r="A24" s="2" t="s">
        <v>63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3">
      <c r="A25" s="5" t="s">
        <v>64</v>
      </c>
      <c r="B25" s="11">
        <v>75.394064999999998</v>
      </c>
      <c r="C25" s="11">
        <v>74.582239000000001</v>
      </c>
      <c r="D25" s="11">
        <v>75.394107999999989</v>
      </c>
      <c r="E25" s="11">
        <v>75.393787000000003</v>
      </c>
      <c r="F25" s="11">
        <v>75.394064999999998</v>
      </c>
      <c r="G25" s="11">
        <v>75.394115999999997</v>
      </c>
      <c r="H25" s="11">
        <v>75.394064</v>
      </c>
      <c r="I25" s="11">
        <v>75.194999999999993</v>
      </c>
      <c r="J25" s="11">
        <v>76.624062999999992</v>
      </c>
      <c r="K25" s="11">
        <v>76.623999999999995</v>
      </c>
      <c r="L25" s="11">
        <v>81.23944800000001</v>
      </c>
      <c r="M25" s="11">
        <v>81.239448999999993</v>
      </c>
      <c r="N25" s="11">
        <v>81.687517000000014</v>
      </c>
      <c r="O25" s="11">
        <v>83.279228000000003</v>
      </c>
      <c r="P25" s="11">
        <v>83.978863000000004</v>
      </c>
      <c r="Q25" s="11">
        <v>83.978863000000004</v>
      </c>
      <c r="R25" s="11">
        <v>88.07198600000001</v>
      </c>
    </row>
    <row r="26" spans="1:18" x14ac:dyDescent="0.3">
      <c r="A26" s="5" t="s">
        <v>65</v>
      </c>
      <c r="B26" s="11">
        <v>-3.0999999999999999E-3</v>
      </c>
      <c r="C26" s="11">
        <v>-3.0999999999999999E-3</v>
      </c>
      <c r="D26" s="11">
        <v>-3.0999999999999999E-3</v>
      </c>
      <c r="E26" s="11">
        <v>-3.0999999999999999E-3</v>
      </c>
      <c r="F26" s="11">
        <v>-3.5099999999999999E-2</v>
      </c>
      <c r="G26" s="11">
        <v>-1.01E-2</v>
      </c>
      <c r="H26" s="11">
        <v>-1.01E-2</v>
      </c>
      <c r="I26" s="11">
        <v>-1.01E-2</v>
      </c>
      <c r="J26" s="11">
        <v>-1.01E-2</v>
      </c>
      <c r="K26" s="11">
        <v>-1.01E-2</v>
      </c>
      <c r="L26" s="11">
        <v>-1.01E-2</v>
      </c>
      <c r="M26" s="11">
        <v>-1.01E-2</v>
      </c>
      <c r="N26" s="11">
        <v>-1.01E-2</v>
      </c>
      <c r="O26" s="11">
        <v>-1.01E-2</v>
      </c>
      <c r="P26" s="11">
        <v>-1.01E-2</v>
      </c>
      <c r="Q26" s="11">
        <v>-1.01E-2</v>
      </c>
      <c r="R26" s="11">
        <v>-1.01E-2</v>
      </c>
    </row>
    <row r="27" spans="1:18" x14ac:dyDescent="0.3">
      <c r="A27" s="5" t="s">
        <v>66</v>
      </c>
      <c r="B27" s="11">
        <v>588.05115999999998</v>
      </c>
      <c r="C27" s="11">
        <v>588.56363699999997</v>
      </c>
      <c r="D27" s="11">
        <v>588.05115599999999</v>
      </c>
      <c r="E27" s="11">
        <v>588.05076599999995</v>
      </c>
      <c r="F27" s="11">
        <v>588.05115999999998</v>
      </c>
      <c r="G27" s="11">
        <v>588.41366200000004</v>
      </c>
      <c r="H27" s="11">
        <v>588.41366000000005</v>
      </c>
      <c r="I27" s="11">
        <v>588.46299999999997</v>
      </c>
      <c r="J27" s="11">
        <v>622.14968500000009</v>
      </c>
      <c r="K27" s="11">
        <v>622.14968500000009</v>
      </c>
      <c r="L27" s="11">
        <v>914.17482400000006</v>
      </c>
      <c r="M27" s="11">
        <v>914.17482400000006</v>
      </c>
      <c r="N27" s="11">
        <v>976.887472</v>
      </c>
      <c r="O27" s="11">
        <v>975.29576199999997</v>
      </c>
      <c r="P27" s="11">
        <v>1053.5150160000001</v>
      </c>
      <c r="Q27" s="11">
        <v>1053.5150160000001</v>
      </c>
      <c r="R27" s="11">
        <v>1734.1590859999999</v>
      </c>
    </row>
    <row r="28" spans="1:18" x14ac:dyDescent="0.3">
      <c r="A28" s="76" t="s">
        <v>67</v>
      </c>
      <c r="B28" s="76">
        <f t="shared" ref="B28:I28" si="12">+SUM(B25:B27)</f>
        <v>663.44212500000003</v>
      </c>
      <c r="C28" s="76">
        <f t="shared" si="12"/>
        <v>663.14277599999991</v>
      </c>
      <c r="D28" s="76">
        <f t="shared" si="12"/>
        <v>663.44216399999993</v>
      </c>
      <c r="E28" s="76">
        <f t="shared" si="12"/>
        <v>663.44145299999991</v>
      </c>
      <c r="F28" s="76">
        <f t="shared" si="12"/>
        <v>663.41012499999999</v>
      </c>
      <c r="G28" s="76">
        <f t="shared" si="12"/>
        <v>663.79767800000002</v>
      </c>
      <c r="H28" s="76">
        <f t="shared" si="12"/>
        <v>663.79762400000004</v>
      </c>
      <c r="I28" s="76">
        <f t="shared" si="12"/>
        <v>663.64789999999994</v>
      </c>
      <c r="J28" s="76">
        <f t="shared" ref="J28:R28" si="13">+SUM(J25:J27)</f>
        <v>698.7636480000001</v>
      </c>
      <c r="K28" s="76">
        <f t="shared" si="13"/>
        <v>698.76358500000015</v>
      </c>
      <c r="L28" s="76">
        <f t="shared" si="13"/>
        <v>995.40417200000002</v>
      </c>
      <c r="M28" s="76">
        <f t="shared" si="13"/>
        <v>995.40417300000001</v>
      </c>
      <c r="N28" s="76">
        <f t="shared" si="13"/>
        <v>1058.564889</v>
      </c>
      <c r="O28" s="76">
        <f t="shared" si="13"/>
        <v>1058.5648899999999</v>
      </c>
      <c r="P28" s="76">
        <f t="shared" si="13"/>
        <v>1137.4837790000001</v>
      </c>
      <c r="Q28" s="76">
        <f t="shared" si="13"/>
        <v>1137.4837790000001</v>
      </c>
      <c r="R28" s="76">
        <f t="shared" si="13"/>
        <v>1822.2209719999998</v>
      </c>
    </row>
    <row r="29" spans="1:18" x14ac:dyDescent="0.3">
      <c r="A29" s="5" t="s">
        <v>68</v>
      </c>
      <c r="B29" s="11">
        <v>-105.597449</v>
      </c>
      <c r="C29" s="11">
        <v>-123.710227</v>
      </c>
      <c r="D29" s="11">
        <v>-82.038668000000001</v>
      </c>
      <c r="E29" s="11">
        <v>-111.17278599999999</v>
      </c>
      <c r="F29" s="11">
        <v>-72.520456999999993</v>
      </c>
      <c r="G29" s="11">
        <v>-88.228543999999999</v>
      </c>
      <c r="H29" s="11">
        <v>-73.275000000000006</v>
      </c>
      <c r="I29" s="11">
        <v>-59.000999999999998</v>
      </c>
      <c r="J29" s="11">
        <v>-105.292</v>
      </c>
      <c r="K29" s="11">
        <f>-24.688</f>
        <v>-24.687999999999999</v>
      </c>
      <c r="L29" s="11">
        <v>19.315000000000001</v>
      </c>
      <c r="M29" s="11">
        <v>2.7309564569812839</v>
      </c>
      <c r="N29" s="11">
        <v>41.276000000000003</v>
      </c>
      <c r="O29" s="11">
        <v>48.311949999999996</v>
      </c>
      <c r="P29" s="11">
        <v>206.64456300000001</v>
      </c>
      <c r="Q29" s="11">
        <v>92.364206999999993</v>
      </c>
      <c r="R29" s="11">
        <v>299.28500000000003</v>
      </c>
    </row>
    <row r="30" spans="1:18" x14ac:dyDescent="0.3">
      <c r="A30" s="76" t="s">
        <v>69</v>
      </c>
      <c r="B30" s="76">
        <f t="shared" ref="B30:I30" si="14">+B29+B28</f>
        <v>557.84467600000005</v>
      </c>
      <c r="C30" s="76">
        <f t="shared" si="14"/>
        <v>539.43254899999988</v>
      </c>
      <c r="D30" s="76">
        <f t="shared" si="14"/>
        <v>581.4034959999999</v>
      </c>
      <c r="E30" s="76">
        <f t="shared" si="14"/>
        <v>552.26866699999994</v>
      </c>
      <c r="F30" s="76">
        <f t="shared" si="14"/>
        <v>590.88966800000003</v>
      </c>
      <c r="G30" s="76">
        <f t="shared" si="14"/>
        <v>575.56913400000008</v>
      </c>
      <c r="H30" s="76">
        <f t="shared" si="14"/>
        <v>590.52262400000006</v>
      </c>
      <c r="I30" s="76">
        <f t="shared" si="14"/>
        <v>604.64689999999996</v>
      </c>
      <c r="J30" s="76">
        <f t="shared" ref="J30:R30" si="15">+J29+J28</f>
        <v>593.47164800000007</v>
      </c>
      <c r="K30" s="76">
        <f t="shared" si="15"/>
        <v>674.07558500000016</v>
      </c>
      <c r="L30" s="76">
        <f t="shared" si="15"/>
        <v>1014.7191720000001</v>
      </c>
      <c r="M30" s="76">
        <f t="shared" si="15"/>
        <v>998.1351294569813</v>
      </c>
      <c r="N30" s="76">
        <f t="shared" si="15"/>
        <v>1099.8408890000001</v>
      </c>
      <c r="O30" s="76">
        <f t="shared" si="15"/>
        <v>1106.8768399999999</v>
      </c>
      <c r="P30" s="76">
        <f t="shared" si="15"/>
        <v>1344.1283420000002</v>
      </c>
      <c r="Q30" s="76">
        <f t="shared" si="15"/>
        <v>1229.8479860000002</v>
      </c>
      <c r="R30" s="76">
        <f t="shared" si="15"/>
        <v>2121.5059719999999</v>
      </c>
    </row>
    <row r="31" spans="1:18" x14ac:dyDescent="0.3">
      <c r="A31" s="5" t="s">
        <v>70</v>
      </c>
      <c r="B31" s="11">
        <v>8.153302</v>
      </c>
      <c r="C31" s="11">
        <v>10.416819</v>
      </c>
      <c r="D31" s="11">
        <v>11.059977999999999</v>
      </c>
      <c r="E31" s="11">
        <v>6.214518</v>
      </c>
      <c r="F31" s="11">
        <v>-4.5808230000000005</v>
      </c>
      <c r="G31" s="11">
        <v>-7.4722400000000002</v>
      </c>
      <c r="H31" s="11">
        <v>-6.4827879999999993</v>
      </c>
      <c r="I31" s="11">
        <v>-10.592692999999999</v>
      </c>
      <c r="J31" s="11">
        <v>-8.0589999999999993</v>
      </c>
      <c r="K31" s="11">
        <f>-12.882</f>
        <v>-12.882</v>
      </c>
      <c r="L31" s="11">
        <v>-6.9613699999999996</v>
      </c>
      <c r="M31" s="11">
        <v>-7.4321644569812833</v>
      </c>
      <c r="N31" s="11">
        <v>3.3340000000000001</v>
      </c>
      <c r="O31" s="11">
        <v>1.830619</v>
      </c>
      <c r="P31" s="11">
        <v>18.450401000000003</v>
      </c>
      <c r="Q31" s="11">
        <v>19.047084999999999</v>
      </c>
      <c r="R31" s="11">
        <v>36.440114999999999</v>
      </c>
    </row>
    <row r="32" spans="1:18" x14ac:dyDescent="0.3">
      <c r="A32" s="76" t="s">
        <v>71</v>
      </c>
      <c r="B32" s="76">
        <f t="shared" ref="B32:I32" si="16">+B31+B30</f>
        <v>565.9979780000001</v>
      </c>
      <c r="C32" s="76">
        <f t="shared" si="16"/>
        <v>549.84936799999991</v>
      </c>
      <c r="D32" s="76">
        <f t="shared" si="16"/>
        <v>592.46347399999991</v>
      </c>
      <c r="E32" s="76">
        <f t="shared" si="16"/>
        <v>558.48318499999993</v>
      </c>
      <c r="F32" s="76">
        <f t="shared" si="16"/>
        <v>586.30884500000002</v>
      </c>
      <c r="G32" s="76">
        <f t="shared" si="16"/>
        <v>568.09689400000002</v>
      </c>
      <c r="H32" s="76">
        <f t="shared" si="16"/>
        <v>584.03983600000004</v>
      </c>
      <c r="I32" s="76">
        <f t="shared" si="16"/>
        <v>594.05420699999991</v>
      </c>
      <c r="J32" s="76">
        <f t="shared" ref="J32:R32" si="17">+J31+J30</f>
        <v>585.4126480000001</v>
      </c>
      <c r="K32" s="76">
        <f t="shared" si="17"/>
        <v>661.19358500000021</v>
      </c>
      <c r="L32" s="76">
        <f t="shared" si="17"/>
        <v>1007.7578020000001</v>
      </c>
      <c r="M32" s="76">
        <f t="shared" si="17"/>
        <v>990.70296500000006</v>
      </c>
      <c r="N32" s="76">
        <f t="shared" si="17"/>
        <v>1103.1748890000001</v>
      </c>
      <c r="O32" s="76">
        <f t="shared" si="17"/>
        <v>1108.707459</v>
      </c>
      <c r="P32" s="76">
        <f t="shared" si="17"/>
        <v>1362.5787430000003</v>
      </c>
      <c r="Q32" s="76">
        <f t="shared" si="17"/>
        <v>1248.8950710000001</v>
      </c>
      <c r="R32" s="76">
        <f t="shared" si="17"/>
        <v>2157.9460869999998</v>
      </c>
    </row>
    <row r="33" spans="1:19" x14ac:dyDescent="0.3">
      <c r="A33" s="5" t="s">
        <v>72</v>
      </c>
      <c r="B33" s="11">
        <v>442.05765599999995</v>
      </c>
      <c r="C33" s="11">
        <v>444.65747600000003</v>
      </c>
      <c r="D33" s="11">
        <v>445.27987399999995</v>
      </c>
      <c r="E33" s="11">
        <v>445.91328199999998</v>
      </c>
      <c r="F33" s="11">
        <v>446.55789700000003</v>
      </c>
      <c r="G33" s="11">
        <v>447.21391899999998</v>
      </c>
      <c r="H33" s="11">
        <v>447.88154800000001</v>
      </c>
      <c r="I33" s="11">
        <v>448.56098800000001</v>
      </c>
      <c r="J33" s="11">
        <v>293.18808499999994</v>
      </c>
      <c r="K33" s="11">
        <v>293.73399999999998</v>
      </c>
      <c r="L33" s="11">
        <v>294.02844599999997</v>
      </c>
      <c r="M33" s="11">
        <v>294.61690499999997</v>
      </c>
      <c r="N33" s="11">
        <v>295.21455900000001</v>
      </c>
      <c r="O33" s="11">
        <v>295.821549</v>
      </c>
      <c r="P33" s="11">
        <v>296.43802499999998</v>
      </c>
      <c r="Q33" s="11">
        <v>297.12330799999995</v>
      </c>
      <c r="R33" s="11">
        <v>1771.0515359999999</v>
      </c>
    </row>
    <row r="34" spans="1:19" x14ac:dyDescent="0.3">
      <c r="A34" s="5" t="s">
        <v>73</v>
      </c>
      <c r="B34" s="11">
        <v>3.6379270000000252</v>
      </c>
      <c r="C34" s="11">
        <v>-0.42532600000000093</v>
      </c>
      <c r="D34" s="11">
        <v>-3.0196439999999711</v>
      </c>
      <c r="E34" s="11">
        <v>-2.7466739999999992</v>
      </c>
      <c r="F34" s="11">
        <v>3.2596529999999913</v>
      </c>
      <c r="G34" s="11">
        <v>-1.2257289999999921</v>
      </c>
      <c r="H34" s="11">
        <v>-1.683439000000013</v>
      </c>
      <c r="I34" s="11">
        <v>-0.30291600000002655</v>
      </c>
      <c r="J34" s="11">
        <v>0.11447200000000884</v>
      </c>
      <c r="K34" s="11">
        <v>13.877000000000001</v>
      </c>
      <c r="L34" s="11">
        <v>-9.9999998928979032E-7</v>
      </c>
      <c r="M34" s="11">
        <v>-9.9999998928979032E-7</v>
      </c>
      <c r="N34" s="11">
        <v>-9.9999998928979032E-7</v>
      </c>
      <c r="O34" s="11">
        <v>-9.9999998928979032E-7</v>
      </c>
      <c r="P34" s="11">
        <v>-9.9999998928979032E-7</v>
      </c>
      <c r="Q34" s="11">
        <v>-9.9999998928979032E-7</v>
      </c>
      <c r="R34" s="11">
        <v>-9.9999994563404468E-7</v>
      </c>
    </row>
    <row r="35" spans="1:19" x14ac:dyDescent="0.3">
      <c r="A35" s="5" t="s">
        <v>74</v>
      </c>
      <c r="B35" s="11">
        <v>-6.0847309999999997</v>
      </c>
      <c r="C35" s="11">
        <v>-19.371383000000002</v>
      </c>
      <c r="D35" s="11">
        <v>32.924872000000001</v>
      </c>
      <c r="E35" s="11">
        <v>31.154655999999999</v>
      </c>
      <c r="F35" s="11">
        <v>30.336375</v>
      </c>
      <c r="G35" s="11">
        <v>28.455773000000001</v>
      </c>
      <c r="H35" s="11">
        <v>31.587651000000001</v>
      </c>
      <c r="I35" s="11">
        <v>31.205273000000002</v>
      </c>
      <c r="J35" s="11">
        <v>29.702758999999997</v>
      </c>
      <c r="K35" s="11">
        <v>31.763000000000002</v>
      </c>
      <c r="L35" s="11">
        <v>28.364668000000002</v>
      </c>
      <c r="M35" s="11">
        <v>23.664273000000001</v>
      </c>
      <c r="N35" s="11">
        <v>21.505136999999998</v>
      </c>
      <c r="O35" s="11">
        <v>19.116332999999997</v>
      </c>
      <c r="P35" s="11">
        <v>16.831937999999997</v>
      </c>
      <c r="Q35" s="11">
        <v>13.850956</v>
      </c>
      <c r="R35" s="11">
        <v>135.02068400000002</v>
      </c>
    </row>
    <row r="36" spans="1:19" x14ac:dyDescent="0.3">
      <c r="A36" s="5" t="s">
        <v>75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88.748174000000006</v>
      </c>
      <c r="H36" s="11">
        <v>108.432</v>
      </c>
      <c r="I36" s="11">
        <v>117.96369</v>
      </c>
      <c r="J36" s="11">
        <v>95.516557000000006</v>
      </c>
      <c r="K36" s="11">
        <v>102.93</v>
      </c>
      <c r="L36" s="11">
        <v>95.780061000000003</v>
      </c>
      <c r="M36" s="11">
        <v>108.64437699999999</v>
      </c>
      <c r="N36" s="11">
        <v>95.339610000000008</v>
      </c>
      <c r="O36" s="11">
        <v>85.031997000000004</v>
      </c>
      <c r="P36" s="11">
        <v>104.84605499999999</v>
      </c>
      <c r="Q36" s="11">
        <v>96.151253999999994</v>
      </c>
      <c r="R36" s="11">
        <v>87.164357999999993</v>
      </c>
    </row>
    <row r="37" spans="1:19" x14ac:dyDescent="0.3">
      <c r="A37" s="5" t="s">
        <v>76</v>
      </c>
      <c r="B37" s="11">
        <v>7.1876150000000001</v>
      </c>
      <c r="C37" s="11">
        <v>7.1540540000000004</v>
      </c>
      <c r="D37" s="11">
        <v>14.414534</v>
      </c>
      <c r="E37" s="11">
        <v>11.560324000000001</v>
      </c>
      <c r="F37" s="11">
        <v>24.981681000000002</v>
      </c>
      <c r="G37" s="11">
        <v>18.256098999999999</v>
      </c>
      <c r="H37" s="11">
        <v>46.011192000000001</v>
      </c>
      <c r="I37" s="11">
        <v>38.229348000000002</v>
      </c>
      <c r="J37" s="11">
        <v>41.958197999999996</v>
      </c>
      <c r="K37" s="11">
        <v>42.682000000000002</v>
      </c>
      <c r="L37" s="11">
        <v>76.172529999999995</v>
      </c>
      <c r="M37" s="11">
        <v>72.742346000000012</v>
      </c>
      <c r="N37" s="11">
        <v>47.503</v>
      </c>
      <c r="O37" s="11">
        <v>47.770089999999996</v>
      </c>
      <c r="P37" s="11">
        <v>71.16</v>
      </c>
      <c r="Q37" s="11">
        <v>61.655627000000003</v>
      </c>
      <c r="R37" s="11">
        <v>58.197466999999996</v>
      </c>
    </row>
    <row r="38" spans="1:19" x14ac:dyDescent="0.3">
      <c r="A38" s="76" t="s">
        <v>77</v>
      </c>
      <c r="B38" s="76">
        <f t="shared" ref="B38:I38" si="18">+SUM(B33:B37)</f>
        <v>446.79846700000002</v>
      </c>
      <c r="C38" s="76">
        <f t="shared" si="18"/>
        <v>432.01482100000004</v>
      </c>
      <c r="D38" s="76">
        <f t="shared" si="18"/>
        <v>489.59963599999998</v>
      </c>
      <c r="E38" s="76">
        <f t="shared" si="18"/>
        <v>485.88158799999997</v>
      </c>
      <c r="F38" s="76">
        <f t="shared" si="18"/>
        <v>505.135606</v>
      </c>
      <c r="G38" s="76">
        <f t="shared" si="18"/>
        <v>581.44823599999995</v>
      </c>
      <c r="H38" s="76">
        <f t="shared" si="18"/>
        <v>632.22895200000005</v>
      </c>
      <c r="I38" s="76">
        <f t="shared" si="18"/>
        <v>635.65638299999989</v>
      </c>
      <c r="J38" s="76">
        <f t="shared" ref="J38:R38" si="19">+SUM(J33:J37)</f>
        <v>460.48007100000001</v>
      </c>
      <c r="K38" s="76">
        <f t="shared" si="19"/>
        <v>484.98599999999999</v>
      </c>
      <c r="L38" s="76">
        <f t="shared" si="19"/>
        <v>494.34570399999996</v>
      </c>
      <c r="M38" s="76">
        <f t="shared" si="19"/>
        <v>499.66789999999992</v>
      </c>
      <c r="N38" s="76">
        <f t="shared" si="19"/>
        <v>459.56230499999998</v>
      </c>
      <c r="O38" s="76">
        <f t="shared" si="19"/>
        <v>447.73996799999998</v>
      </c>
      <c r="P38" s="76">
        <f t="shared" si="19"/>
        <v>489.27601699999991</v>
      </c>
      <c r="Q38" s="76">
        <f t="shared" si="19"/>
        <v>468.78114399999993</v>
      </c>
      <c r="R38" s="76">
        <f t="shared" si="19"/>
        <v>2051.4340440000001</v>
      </c>
    </row>
    <row r="39" spans="1:19" x14ac:dyDescent="0.3">
      <c r="A39" s="5" t="s">
        <v>78</v>
      </c>
      <c r="B39" s="11">
        <v>1600.5660809999999</v>
      </c>
      <c r="C39" s="11">
        <v>1002.5657169999999</v>
      </c>
      <c r="D39" s="11">
        <v>1913.2961559999999</v>
      </c>
      <c r="E39" s="11">
        <v>934.478296</v>
      </c>
      <c r="F39" s="11">
        <v>1787.346106</v>
      </c>
      <c r="G39" s="11">
        <v>1352.558303</v>
      </c>
      <c r="H39" s="11">
        <v>3079.183759</v>
      </c>
      <c r="I39" s="11">
        <v>1287.7180390000001</v>
      </c>
      <c r="J39" s="11">
        <v>2361.1882270000001</v>
      </c>
      <c r="K39" s="11">
        <v>2309.049</v>
      </c>
      <c r="L39" s="11">
        <v>4702.5739299999996</v>
      </c>
      <c r="M39" s="11">
        <v>2252.5200150000001</v>
      </c>
      <c r="N39" s="11">
        <v>3560.04</v>
      </c>
      <c r="O39" s="11">
        <v>3146.9565229999998</v>
      </c>
      <c r="P39" s="11">
        <v>5341.2439999999997</v>
      </c>
      <c r="Q39" s="11">
        <v>3106.0448709999996</v>
      </c>
      <c r="R39" s="11">
        <v>4813.7720209999998</v>
      </c>
    </row>
    <row r="40" spans="1:19" x14ac:dyDescent="0.3">
      <c r="A40" s="5" t="s">
        <v>79</v>
      </c>
      <c r="B40" s="11">
        <v>9.0337510000000005</v>
      </c>
      <c r="C40" s="11">
        <v>0.27783800000000003</v>
      </c>
      <c r="D40" s="11">
        <v>6.7008530000000004</v>
      </c>
      <c r="E40" s="11">
        <v>1.7915329999999998</v>
      </c>
      <c r="F40" s="11">
        <v>20.311423999999999</v>
      </c>
      <c r="G40" s="11">
        <v>14.45682</v>
      </c>
      <c r="H40" s="11">
        <v>14.489042999999999</v>
      </c>
      <c r="I40" s="11">
        <v>22.114562000000003</v>
      </c>
      <c r="J40" s="11">
        <v>24.40549</v>
      </c>
      <c r="K40" s="11">
        <v>25.135480000000001</v>
      </c>
      <c r="L40" s="11">
        <v>39.533000000000001</v>
      </c>
      <c r="M40" s="11">
        <v>38.261173999999997</v>
      </c>
      <c r="N40" s="11">
        <v>49.812392999999993</v>
      </c>
      <c r="O40" s="11">
        <v>41.431691000000001</v>
      </c>
      <c r="P40" s="11">
        <v>60.587927000000001</v>
      </c>
      <c r="Q40" s="11">
        <v>64.360208</v>
      </c>
      <c r="R40" s="11">
        <v>58.171416999999998</v>
      </c>
    </row>
    <row r="41" spans="1:19" x14ac:dyDescent="0.3">
      <c r="A41" s="5" t="s">
        <v>80</v>
      </c>
      <c r="B41" s="11">
        <v>229.05684299999999</v>
      </c>
      <c r="C41" s="11">
        <v>156.149078</v>
      </c>
      <c r="D41" s="11">
        <v>254.20557199999999</v>
      </c>
      <c r="E41" s="11">
        <v>88.696817999999993</v>
      </c>
      <c r="F41" s="11">
        <v>209.59447399999999</v>
      </c>
      <c r="G41" s="11">
        <v>190.46872500000001</v>
      </c>
      <c r="H41" s="11">
        <v>311.15939800000001</v>
      </c>
      <c r="I41" s="11">
        <v>204.89594299999999</v>
      </c>
      <c r="J41" s="11">
        <v>235.188222</v>
      </c>
      <c r="K41" s="11">
        <v>156.233</v>
      </c>
      <c r="L41" s="11">
        <v>286.38047799999998</v>
      </c>
      <c r="M41" s="11">
        <v>96.987340000000003</v>
      </c>
      <c r="N41" s="11">
        <v>250.91837599999999</v>
      </c>
      <c r="O41" s="11">
        <v>66.354513999999995</v>
      </c>
      <c r="P41" s="11">
        <v>561.91526199999998</v>
      </c>
      <c r="Q41" s="11">
        <v>330.072542</v>
      </c>
      <c r="R41" s="11">
        <v>458.89789299999995</v>
      </c>
    </row>
    <row r="42" spans="1:19" x14ac:dyDescent="0.3">
      <c r="A42" s="5" t="s">
        <v>81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14.656197000000001</v>
      </c>
      <c r="H42" s="11">
        <v>11.469732</v>
      </c>
      <c r="I42" s="11">
        <v>4.503889</v>
      </c>
      <c r="J42" s="11">
        <v>26.142178000000001</v>
      </c>
      <c r="K42" s="11">
        <v>29.192</v>
      </c>
      <c r="L42" s="11">
        <v>29.621831999999998</v>
      </c>
      <c r="M42" s="11">
        <v>31.180565999999999</v>
      </c>
      <c r="N42" s="11">
        <v>31.230169999999998</v>
      </c>
      <c r="O42" s="11">
        <v>29.339725999999999</v>
      </c>
      <c r="P42" s="11">
        <v>31.608732</v>
      </c>
      <c r="Q42" s="11">
        <v>31.325748000000001</v>
      </c>
      <c r="R42" s="11">
        <v>39.063591000000002</v>
      </c>
    </row>
    <row r="43" spans="1:19" s="21" customFormat="1" x14ac:dyDescent="0.3">
      <c r="A43" s="5" t="s">
        <v>82</v>
      </c>
      <c r="B43" s="11">
        <v>0</v>
      </c>
      <c r="C43" s="11">
        <v>0</v>
      </c>
      <c r="D43" s="11">
        <v>0</v>
      </c>
      <c r="E43" s="11">
        <v>0</v>
      </c>
      <c r="F43" s="11">
        <v>39.991852000000002</v>
      </c>
      <c r="G43" s="11">
        <v>46.949400999999995</v>
      </c>
      <c r="H43" s="11">
        <v>12.474952</v>
      </c>
      <c r="I43" s="11">
        <v>42.469686000000003</v>
      </c>
      <c r="J43" s="11">
        <v>45.088044000000004</v>
      </c>
      <c r="K43" s="11">
        <v>50.122999999999998</v>
      </c>
      <c r="L43" s="11">
        <v>57.127347</v>
      </c>
      <c r="M43" s="11">
        <v>67.323078999999993</v>
      </c>
      <c r="N43" s="11">
        <v>75.884</v>
      </c>
      <c r="O43" s="11">
        <v>107.28074599999999</v>
      </c>
      <c r="P43" s="11">
        <v>100.20078100000001</v>
      </c>
      <c r="Q43" s="11">
        <f>108.493485+1781.456738</f>
        <v>1889.9502230000001</v>
      </c>
      <c r="R43" s="11">
        <v>413.31143500000002</v>
      </c>
    </row>
    <row r="44" spans="1:19" s="21" customFormat="1" x14ac:dyDescent="0.3">
      <c r="A44" s="5" t="s">
        <v>83</v>
      </c>
      <c r="B44" s="11">
        <v>194.41589199999999</v>
      </c>
      <c r="C44" s="11">
        <v>182.08221499999999</v>
      </c>
      <c r="D44" s="11">
        <v>252.66824</v>
      </c>
      <c r="E44" s="11">
        <v>221.654743</v>
      </c>
      <c r="F44" s="11">
        <v>286.54912000000002</v>
      </c>
      <c r="G44" s="11">
        <v>272.51736700000004</v>
      </c>
      <c r="H44" s="11">
        <f>288.670723+0.1</f>
        <v>288.77072300000003</v>
      </c>
      <c r="I44" s="11">
        <v>305.899385</v>
      </c>
      <c r="J44" s="11">
        <v>440.73027399999995</v>
      </c>
      <c r="K44" s="11">
        <v>479.71199999999999</v>
      </c>
      <c r="L44" s="11">
        <v>545.20454099999995</v>
      </c>
      <c r="M44" s="11">
        <v>440.97954700000003</v>
      </c>
      <c r="N44" s="11">
        <v>784.00400000000002</v>
      </c>
      <c r="O44" s="11">
        <v>727.33206700000005</v>
      </c>
      <c r="P44" s="11">
        <v>820.01</v>
      </c>
      <c r="Q44" s="11">
        <v>832.70421699999997</v>
      </c>
      <c r="R44" s="11">
        <v>1299.0189800000001</v>
      </c>
    </row>
    <row r="45" spans="1:19" s="21" customFormat="1" x14ac:dyDescent="0.3">
      <c r="A45" s="76" t="s">
        <v>84</v>
      </c>
      <c r="B45" s="76">
        <f t="shared" ref="B45:Q45" si="20">+SUM(B39:B44)</f>
        <v>2033.0725669999999</v>
      </c>
      <c r="C45" s="76">
        <f t="shared" si="20"/>
        <v>1341.0748479999997</v>
      </c>
      <c r="D45" s="76">
        <f t="shared" si="20"/>
        <v>2426.870821</v>
      </c>
      <c r="E45" s="76">
        <f t="shared" si="20"/>
        <v>1246.62139</v>
      </c>
      <c r="F45" s="76">
        <f t="shared" si="20"/>
        <v>2343.7929760000002</v>
      </c>
      <c r="G45" s="76">
        <f t="shared" si="20"/>
        <v>1891.6068130000003</v>
      </c>
      <c r="H45" s="76">
        <f t="shared" si="20"/>
        <v>3717.547607</v>
      </c>
      <c r="I45" s="76">
        <f t="shared" si="20"/>
        <v>1867.601504</v>
      </c>
      <c r="J45" s="76">
        <f t="shared" si="20"/>
        <v>3132.7424350000006</v>
      </c>
      <c r="K45" s="76">
        <f t="shared" si="20"/>
        <v>3049.4444800000001</v>
      </c>
      <c r="L45" s="76">
        <f t="shared" si="20"/>
        <v>5660.4411279999995</v>
      </c>
      <c r="M45" s="76">
        <f t="shared" si="20"/>
        <v>2927.2517210000001</v>
      </c>
      <c r="N45" s="76">
        <f t="shared" si="20"/>
        <v>4751.8889390000004</v>
      </c>
      <c r="O45" s="76">
        <f t="shared" si="20"/>
        <v>4118.6952670000001</v>
      </c>
      <c r="P45" s="76">
        <f t="shared" si="20"/>
        <v>6915.5667020000001</v>
      </c>
      <c r="Q45" s="76">
        <f t="shared" si="20"/>
        <v>6254.4578089999995</v>
      </c>
      <c r="R45" s="76">
        <f t="shared" ref="R45" si="21">+SUM(R39:R44)</f>
        <v>7082.2353369999992</v>
      </c>
    </row>
    <row r="46" spans="1:19" s="21" customFormat="1" x14ac:dyDescent="0.3">
      <c r="A46" s="76" t="s">
        <v>85</v>
      </c>
      <c r="B46" s="76">
        <f t="shared" ref="B46:Q46" si="22">+B45+B38</f>
        <v>2479.8710339999998</v>
      </c>
      <c r="C46" s="76">
        <f t="shared" si="22"/>
        <v>1773.0896689999997</v>
      </c>
      <c r="D46" s="76">
        <f t="shared" si="22"/>
        <v>2916.4704569999999</v>
      </c>
      <c r="E46" s="76">
        <f t="shared" si="22"/>
        <v>1732.502978</v>
      </c>
      <c r="F46" s="76">
        <f t="shared" si="22"/>
        <v>2848.928582</v>
      </c>
      <c r="G46" s="76">
        <f t="shared" si="22"/>
        <v>2473.0550490000005</v>
      </c>
      <c r="H46" s="76">
        <f t="shared" si="22"/>
        <v>4349.7765589999999</v>
      </c>
      <c r="I46" s="76">
        <f t="shared" si="22"/>
        <v>2503.2578869999998</v>
      </c>
      <c r="J46" s="76">
        <f t="shared" si="22"/>
        <v>3593.2225060000005</v>
      </c>
      <c r="K46" s="76">
        <f t="shared" si="22"/>
        <v>3534.43048</v>
      </c>
      <c r="L46" s="76">
        <f t="shared" si="22"/>
        <v>6154.7868319999998</v>
      </c>
      <c r="M46" s="76">
        <f t="shared" si="22"/>
        <v>3426.919621</v>
      </c>
      <c r="N46" s="76">
        <f t="shared" si="22"/>
        <v>5211.4512440000008</v>
      </c>
      <c r="O46" s="76">
        <f t="shared" si="22"/>
        <v>4566.4352349999999</v>
      </c>
      <c r="P46" s="76">
        <f t="shared" si="22"/>
        <v>7404.8427190000002</v>
      </c>
      <c r="Q46" s="76">
        <f t="shared" si="22"/>
        <v>6723.2389529999991</v>
      </c>
      <c r="R46" s="76">
        <f t="shared" ref="R46" si="23">+R45+R38</f>
        <v>9133.6693809999997</v>
      </c>
      <c r="S46" s="81"/>
    </row>
    <row r="47" spans="1:19" s="21" customFormat="1" x14ac:dyDescent="0.3">
      <c r="A47" s="76" t="s">
        <v>86</v>
      </c>
      <c r="B47" s="76">
        <f t="shared" ref="B47:Q47" si="24">+B46+B32</f>
        <v>3045.8690120000001</v>
      </c>
      <c r="C47" s="76">
        <f t="shared" si="24"/>
        <v>2322.9390369999996</v>
      </c>
      <c r="D47" s="76">
        <f t="shared" si="24"/>
        <v>3508.9339309999996</v>
      </c>
      <c r="E47" s="76">
        <f t="shared" si="24"/>
        <v>2290.986163</v>
      </c>
      <c r="F47" s="76">
        <f t="shared" si="24"/>
        <v>3435.237427</v>
      </c>
      <c r="G47" s="76">
        <f t="shared" si="24"/>
        <v>3041.1519430000008</v>
      </c>
      <c r="H47" s="76">
        <f t="shared" si="24"/>
        <v>4933.8163949999998</v>
      </c>
      <c r="I47" s="76">
        <f t="shared" si="24"/>
        <v>3097.3120939999999</v>
      </c>
      <c r="J47" s="76">
        <f t="shared" si="24"/>
        <v>4178.6351540000005</v>
      </c>
      <c r="K47" s="76">
        <f t="shared" si="24"/>
        <v>4195.624065</v>
      </c>
      <c r="L47" s="76">
        <f t="shared" si="24"/>
        <v>7162.5446339999999</v>
      </c>
      <c r="M47" s="76">
        <f t="shared" si="24"/>
        <v>4417.6225860000004</v>
      </c>
      <c r="N47" s="76">
        <f t="shared" si="24"/>
        <v>6314.6261330000007</v>
      </c>
      <c r="O47" s="76">
        <f t="shared" si="24"/>
        <v>5675.1426940000001</v>
      </c>
      <c r="P47" s="76">
        <f t="shared" si="24"/>
        <v>8767.4214620000002</v>
      </c>
      <c r="Q47" s="76">
        <f t="shared" si="24"/>
        <v>7972.134023999999</v>
      </c>
      <c r="R47" s="76">
        <f t="shared" ref="R47" si="25">+R46+R32</f>
        <v>11291.615468</v>
      </c>
    </row>
    <row r="48" spans="1:19" s="21" customFormat="1" x14ac:dyDescent="0.3">
      <c r="A48" s="22"/>
      <c r="B48" s="23"/>
      <c r="C48" s="23"/>
      <c r="D48" s="23"/>
      <c r="E48" s="23"/>
      <c r="F48" s="23"/>
      <c r="G48" s="23"/>
    </row>
    <row r="49" spans="1:18" s="21" customFormat="1" x14ac:dyDescent="0.3">
      <c r="A49" s="88"/>
      <c r="B49" s="89"/>
      <c r="C49" s="89"/>
      <c r="D49" s="89"/>
      <c r="E49" s="89"/>
      <c r="F49" s="89"/>
      <c r="G49" s="89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1:18" s="21" customFormat="1" x14ac:dyDescent="0.3">
      <c r="A50" s="88"/>
      <c r="B50" s="89"/>
      <c r="C50" s="89"/>
      <c r="D50" s="89"/>
      <c r="E50" s="89"/>
      <c r="F50" s="89"/>
      <c r="G50" s="89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1:18" s="21" customFormat="1" x14ac:dyDescent="0.3">
      <c r="A51" s="88"/>
      <c r="B51" s="89"/>
      <c r="C51" s="89"/>
      <c r="D51" s="89"/>
      <c r="E51" s="89"/>
      <c r="F51" s="89"/>
      <c r="G51" s="89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1:18" s="21" customFormat="1" x14ac:dyDescent="0.3">
      <c r="A52" s="81"/>
      <c r="B52" s="90"/>
      <c r="C52" s="90"/>
      <c r="D52" s="90"/>
      <c r="E52" s="90"/>
      <c r="F52" s="90"/>
      <c r="G52" s="9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18" s="21" customFormat="1" x14ac:dyDescent="0.3">
      <c r="A53" s="81"/>
      <c r="B53" s="90"/>
      <c r="C53" s="90"/>
      <c r="D53" s="90"/>
      <c r="E53" s="90"/>
      <c r="F53" s="90"/>
      <c r="G53" s="90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</row>
    <row r="54" spans="1:18" s="21" customFormat="1" x14ac:dyDescent="0.3">
      <c r="A54" s="81"/>
      <c r="B54" s="90"/>
      <c r="C54" s="90"/>
      <c r="D54" s="90"/>
      <c r="E54" s="90"/>
      <c r="F54" s="90"/>
      <c r="G54" s="90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</row>
    <row r="55" spans="1:18" s="21" customFormat="1" x14ac:dyDescent="0.3">
      <c r="A55" s="81"/>
      <c r="B55" s="90"/>
      <c r="C55" s="90"/>
      <c r="D55" s="90"/>
      <c r="E55" s="90"/>
      <c r="F55" s="90"/>
      <c r="G55" s="90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</row>
    <row r="56" spans="1:18" s="21" customFormat="1" x14ac:dyDescent="0.3">
      <c r="A56" s="81"/>
      <c r="B56" s="90"/>
      <c r="C56" s="90"/>
      <c r="D56" s="90"/>
      <c r="E56" s="90"/>
      <c r="F56" s="90"/>
      <c r="G56" s="90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</row>
    <row r="57" spans="1:18" s="21" customFormat="1" x14ac:dyDescent="0.3">
      <c r="A57" s="81"/>
      <c r="B57" s="90"/>
      <c r="C57" s="90"/>
      <c r="D57" s="90"/>
      <c r="E57" s="90"/>
      <c r="F57" s="90"/>
      <c r="G57" s="90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</row>
    <row r="58" spans="1:18" s="21" customFormat="1" x14ac:dyDescent="0.3">
      <c r="A58" s="81"/>
      <c r="B58" s="90"/>
      <c r="C58" s="90"/>
      <c r="D58" s="90"/>
      <c r="E58" s="90"/>
      <c r="F58" s="90"/>
      <c r="G58" s="90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</row>
    <row r="59" spans="1:18" s="21" customFormat="1" x14ac:dyDescent="0.3">
      <c r="A59" s="81"/>
      <c r="B59" s="90"/>
      <c r="C59" s="90"/>
      <c r="D59" s="90"/>
      <c r="E59" s="90"/>
      <c r="F59" s="90"/>
      <c r="G59" s="90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</row>
    <row r="60" spans="1:18" s="21" customFormat="1" x14ac:dyDescent="0.3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</row>
    <row r="61" spans="1:18" s="21" customFormat="1" x14ac:dyDescent="0.3">
      <c r="A61" s="81"/>
      <c r="B61" s="90"/>
      <c r="C61" s="90"/>
      <c r="D61" s="90"/>
      <c r="E61" s="90"/>
      <c r="F61" s="90"/>
      <c r="G61" s="90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1:18" s="21" customFormat="1" x14ac:dyDescent="0.3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</row>
    <row r="63" spans="1:18" s="21" customFormat="1" x14ac:dyDescent="0.3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21875" defaultRowHeight="14.4" x14ac:dyDescent="0.3"/>
  <cols>
    <col min="1" max="1" width="43.44140625" style="18" bestFit="1" customWidth="1"/>
    <col min="2" max="5" width="6.44140625" style="18" bestFit="1" customWidth="1"/>
    <col min="6" max="6" width="5.21875" style="18" bestFit="1" customWidth="1"/>
    <col min="7" max="10" width="6.44140625" style="18" bestFit="1" customWidth="1"/>
    <col min="11" max="11" width="5.21875" style="18" bestFit="1" customWidth="1"/>
    <col min="12" max="15" width="6.44140625" style="18" bestFit="1" customWidth="1"/>
    <col min="16" max="16" width="5.77734375" style="18" bestFit="1" customWidth="1"/>
    <col min="17" max="19" width="6.44140625" style="18" bestFit="1" customWidth="1"/>
    <col min="20" max="23" width="6.77734375" style="18" bestFit="1" customWidth="1"/>
    <col min="24" max="24" width="6.33203125" style="18" bestFit="1" customWidth="1"/>
    <col min="25" max="25" width="7" style="18" bestFit="1" customWidth="1"/>
    <col min="26" max="26" width="6.77734375" style="18" bestFit="1" customWidth="1"/>
    <col min="27" max="16384" width="9.21875" style="18"/>
  </cols>
  <sheetData>
    <row r="1" spans="1:26" x14ac:dyDescent="0.3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  <c r="Y1" s="7" t="s">
        <v>155</v>
      </c>
      <c r="Z1" s="7">
        <v>2021</v>
      </c>
    </row>
    <row r="2" spans="1:26" x14ac:dyDescent="0.3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5" t="s">
        <v>35</v>
      </c>
      <c r="B3" s="25">
        <v>-26.773</v>
      </c>
      <c r="C3" s="25">
        <v>23.817</v>
      </c>
      <c r="D3" s="25">
        <v>-63.390339000000125</v>
      </c>
      <c r="E3" s="25">
        <v>12.673335000000021</v>
      </c>
      <c r="F3" s="25">
        <f>+SUM(B3:E3)</f>
        <v>-53.673004000000105</v>
      </c>
      <c r="G3" s="25">
        <v>-18.190341000000089</v>
      </c>
      <c r="H3" s="25">
        <v>64.742354000000518</v>
      </c>
      <c r="I3" s="25">
        <v>-34.808232000000835</v>
      </c>
      <c r="J3" s="25">
        <v>42.028726000001058</v>
      </c>
      <c r="K3" s="25">
        <f>+SUM(G3:J3)</f>
        <v>53.772507000000651</v>
      </c>
      <c r="L3" s="25">
        <v>-9.5709999999999997</v>
      </c>
      <c r="M3" s="25">
        <v>59.158000000000001</v>
      </c>
      <c r="N3" s="25">
        <v>-8.1876499999999997</v>
      </c>
      <c r="O3" s="25">
        <v>-31.81007800000117</v>
      </c>
      <c r="P3" s="25">
        <f>+SUM(L3:O3)</f>
        <v>9.5892719999988358</v>
      </c>
      <c r="Q3" s="25">
        <f>-41.464</f>
        <v>-41.463999999999999</v>
      </c>
      <c r="R3" s="25">
        <v>131.80854700000103</v>
      </c>
      <c r="S3" s="25">
        <v>-22.728339000001185</v>
      </c>
      <c r="T3" s="25">
        <v>126.035</v>
      </c>
      <c r="U3" s="25">
        <f>+SUM(Q3:T3)</f>
        <v>193.65120799999983</v>
      </c>
      <c r="V3" s="25">
        <v>28.964417999999672</v>
      </c>
      <c r="W3" s="25">
        <v>184.11149799999885</v>
      </c>
      <c r="X3" s="25">
        <v>-127.73757499999672</v>
      </c>
      <c r="Y3" s="25">
        <v>217.76302499999812</v>
      </c>
      <c r="Z3" s="25">
        <f>+SUM(V3:Y3)</f>
        <v>303.10136599999993</v>
      </c>
    </row>
    <row r="4" spans="1:26" x14ac:dyDescent="0.3">
      <c r="A4" s="5" t="s">
        <v>88</v>
      </c>
      <c r="B4" s="25">
        <v>-9.4600000000000009</v>
      </c>
      <c r="C4" s="25">
        <v>-1.3939999999999999</v>
      </c>
      <c r="D4" s="25">
        <v>-3.2742834586633998</v>
      </c>
      <c r="E4" s="25">
        <v>2.2591209723187005</v>
      </c>
      <c r="F4" s="25">
        <f t="shared" ref="F4:F9" si="0">+SUM(B4:E4)</f>
        <v>-11.869162486344699</v>
      </c>
      <c r="G4" s="25">
        <v>-6.5949600774060002</v>
      </c>
      <c r="H4" s="25">
        <v>-6.4071765321237413</v>
      </c>
      <c r="I4" s="25">
        <v>-3.9083727736504006</v>
      </c>
      <c r="J4" s="25">
        <v>-6.7144033609968394</v>
      </c>
      <c r="K4" s="25">
        <f t="shared" ref="K4:K8" si="1">+SUM(G4:J4)</f>
        <v>-23.624912744176982</v>
      </c>
      <c r="L4" s="25">
        <v>-8.3180096388900004</v>
      </c>
      <c r="M4" s="25">
        <v>-2.5539999999999998</v>
      </c>
      <c r="N4" s="25">
        <v>-3.3046399999999996</v>
      </c>
      <c r="O4" s="25">
        <v>-16.318660000000001</v>
      </c>
      <c r="P4" s="25">
        <f t="shared" ref="P4:P8" si="2">+SUM(L4:O4)</f>
        <v>-30.495309638889999</v>
      </c>
      <c r="Q4" s="25">
        <f>-10.233</f>
        <v>-10.233000000000001</v>
      </c>
      <c r="R4" s="25">
        <v>-5.1379999999999999</v>
      </c>
      <c r="S4" s="25">
        <v>-5.3346468472197701</v>
      </c>
      <c r="T4" s="25">
        <v>-13.798259938733176</v>
      </c>
      <c r="U4" s="25">
        <f t="shared" ref="U4:U8" si="3">+SUM(Q4:T4)</f>
        <v>-34.50390678595295</v>
      </c>
      <c r="V4" s="25">
        <v>-15.407697309629583</v>
      </c>
      <c r="W4" s="25">
        <v>-9.83986178048103</v>
      </c>
      <c r="X4" s="25">
        <v>-27.08205890988939</v>
      </c>
      <c r="Y4" s="25">
        <v>-19.773799</v>
      </c>
      <c r="Z4" s="25">
        <f t="shared" ref="Z4:Z8" si="4">+SUM(V4:Y4)</f>
        <v>-72.103417000000007</v>
      </c>
    </row>
    <row r="5" spans="1:26" x14ac:dyDescent="0.3">
      <c r="A5" s="5" t="s">
        <v>89</v>
      </c>
      <c r="B5" s="25">
        <v>15.276</v>
      </c>
      <c r="C5" s="25">
        <v>17.109000000000002</v>
      </c>
      <c r="D5" s="25">
        <v>16.178331999999997</v>
      </c>
      <c r="E5" s="25">
        <v>23.120156999999999</v>
      </c>
      <c r="F5" s="25">
        <f t="shared" si="0"/>
        <v>71.683489000000009</v>
      </c>
      <c r="G5" s="25">
        <v>17.710978999999998</v>
      </c>
      <c r="H5" s="25">
        <v>18.456309000000001</v>
      </c>
      <c r="I5" s="25">
        <v>19.450576999999999</v>
      </c>
      <c r="J5" s="25">
        <v>20.860913000000007</v>
      </c>
      <c r="K5" s="25">
        <f t="shared" si="1"/>
        <v>76.478778000000005</v>
      </c>
      <c r="L5" s="25">
        <v>26.437000000000001</v>
      </c>
      <c r="M5" s="25">
        <v>28.934000000000001</v>
      </c>
      <c r="N5" s="25">
        <v>27.943073999999992</v>
      </c>
      <c r="O5" s="25">
        <v>89.554411999999999</v>
      </c>
      <c r="P5" s="25">
        <f t="shared" si="2"/>
        <v>172.86848599999999</v>
      </c>
      <c r="Q5" s="25">
        <v>32.628</v>
      </c>
      <c r="R5" s="25">
        <v>34.608330999999993</v>
      </c>
      <c r="S5" s="25">
        <v>35.873249000000008</v>
      </c>
      <c r="T5" s="25">
        <v>37.191717000000004</v>
      </c>
      <c r="U5" s="25">
        <f t="shared" si="3"/>
        <v>140.30129700000001</v>
      </c>
      <c r="V5" s="25">
        <v>36.084908000000006</v>
      </c>
      <c r="W5" s="25">
        <v>39.770237999999992</v>
      </c>
      <c r="X5" s="25">
        <v>41.349272000000013</v>
      </c>
      <c r="Y5" s="25">
        <v>57.338333999999975</v>
      </c>
      <c r="Z5" s="25">
        <f t="shared" si="4"/>
        <v>174.54275199999998</v>
      </c>
    </row>
    <row r="6" spans="1:26" x14ac:dyDescent="0.3">
      <c r="A6" s="5" t="s">
        <v>90</v>
      </c>
      <c r="B6" s="25">
        <v>12.266999999999999</v>
      </c>
      <c r="C6" s="25">
        <v>15.081</v>
      </c>
      <c r="D6" s="25">
        <v>12.352959999999996</v>
      </c>
      <c r="E6" s="25">
        <v>10.943845000000001</v>
      </c>
      <c r="F6" s="25">
        <f t="shared" si="0"/>
        <v>50.644804999999998</v>
      </c>
      <c r="G6" s="25">
        <v>8.8188279999999999</v>
      </c>
      <c r="H6" s="25">
        <v>8.8011130000000026</v>
      </c>
      <c r="I6" s="25">
        <v>9.7538719999999959</v>
      </c>
      <c r="J6" s="25">
        <v>7.8389609999999994</v>
      </c>
      <c r="K6" s="25">
        <f t="shared" si="1"/>
        <v>35.212773999999996</v>
      </c>
      <c r="L6" s="25">
        <v>11.824999999999999</v>
      </c>
      <c r="M6" s="25">
        <v>11.861000000000001</v>
      </c>
      <c r="N6" s="25">
        <v>11.552894</v>
      </c>
      <c r="O6" s="25">
        <v>12.883257999999994</v>
      </c>
      <c r="P6" s="25">
        <f t="shared" si="2"/>
        <v>48.122152</v>
      </c>
      <c r="Q6" s="25">
        <v>12.352</v>
      </c>
      <c r="R6" s="25">
        <v>4.6663809999999977</v>
      </c>
      <c r="S6" s="25">
        <v>7.4883680000000057</v>
      </c>
      <c r="T6" s="25">
        <v>8.1679999999999993</v>
      </c>
      <c r="U6" s="25">
        <f t="shared" si="3"/>
        <v>32.674749000000006</v>
      </c>
      <c r="V6" s="25">
        <v>7.7167240000000001</v>
      </c>
      <c r="W6" s="25">
        <v>8.0738899999999969</v>
      </c>
      <c r="X6" s="25">
        <v>22.774846</v>
      </c>
      <c r="Y6" s="25">
        <v>30.553906999999999</v>
      </c>
      <c r="Z6" s="25">
        <f t="shared" si="4"/>
        <v>69.119366999999997</v>
      </c>
    </row>
    <row r="7" spans="1:26" x14ac:dyDescent="0.3">
      <c r="A7" s="5" t="s">
        <v>91</v>
      </c>
      <c r="B7" s="25">
        <v>-80.058999999999997</v>
      </c>
      <c r="C7" s="25">
        <v>-63.86</v>
      </c>
      <c r="D7" s="25">
        <v>-11.11229722999985</v>
      </c>
      <c r="E7" s="25">
        <v>188.09521699999988</v>
      </c>
      <c r="F7" s="25">
        <f t="shared" si="0"/>
        <v>33.063919770000041</v>
      </c>
      <c r="G7" s="25">
        <v>-184.07226999999989</v>
      </c>
      <c r="H7" s="25">
        <v>-127.09537399999984</v>
      </c>
      <c r="I7" s="25">
        <v>112.39400499999977</v>
      </c>
      <c r="J7" s="25">
        <v>90.840901000000102</v>
      </c>
      <c r="K7" s="25">
        <f>+SUM(G7:J7)</f>
        <v>-107.93273799999984</v>
      </c>
      <c r="L7" s="25">
        <v>-239.542</v>
      </c>
      <c r="M7" s="25">
        <v>534.56700000000001</v>
      </c>
      <c r="N7" s="25">
        <v>-611.30600000000004</v>
      </c>
      <c r="O7" s="25">
        <v>207.23939799999982</v>
      </c>
      <c r="P7" s="25">
        <f>+SUM(L7:O7)</f>
        <v>-109.04160200000024</v>
      </c>
      <c r="Q7" s="25">
        <v>98.734999999999999</v>
      </c>
      <c r="R7" s="25">
        <v>760.45777699999974</v>
      </c>
      <c r="S7" s="25">
        <v>-942.39180499999918</v>
      </c>
      <c r="T7" s="25">
        <v>447.25799999999998</v>
      </c>
      <c r="U7" s="25">
        <f t="shared" si="3"/>
        <v>364.05897200000055</v>
      </c>
      <c r="V7" s="25">
        <v>-185.56725799999992</v>
      </c>
      <c r="W7" s="25">
        <v>141.27099999999999</v>
      </c>
      <c r="X7" s="25">
        <v>-280.35350400000067</v>
      </c>
      <c r="Y7" s="25">
        <v>367.73745499999961</v>
      </c>
      <c r="Z7" s="25">
        <f t="shared" si="4"/>
        <v>43.087692999999035</v>
      </c>
    </row>
    <row r="8" spans="1:26" x14ac:dyDescent="0.3">
      <c r="A8" s="5" t="s">
        <v>92</v>
      </c>
      <c r="B8" s="25">
        <v>-50.351999999999997</v>
      </c>
      <c r="C8" s="25">
        <v>161.56100000000001</v>
      </c>
      <c r="D8" s="25">
        <v>-160.74314496842047</v>
      </c>
      <c r="E8" s="25">
        <v>112.54200492989847</v>
      </c>
      <c r="F8" s="25">
        <f t="shared" si="0"/>
        <v>63.007859961478005</v>
      </c>
      <c r="G8" s="25">
        <v>-68.867391356148772</v>
      </c>
      <c r="H8" s="25">
        <v>155.70653951741423</v>
      </c>
      <c r="I8" s="25">
        <v>-204.47062190857119</v>
      </c>
      <c r="J8" s="25">
        <v>198.47077678910853</v>
      </c>
      <c r="K8" s="25">
        <f t="shared" si="1"/>
        <v>80.839303041802793</v>
      </c>
      <c r="L8" s="25">
        <v>-18.939</v>
      </c>
      <c r="M8" s="25">
        <v>42.576999999999998</v>
      </c>
      <c r="N8" s="25">
        <v>-56.790802999999997</v>
      </c>
      <c r="O8" s="25">
        <v>133.09</v>
      </c>
      <c r="P8" s="25">
        <f t="shared" si="2"/>
        <v>99.937196999999998</v>
      </c>
      <c r="Q8" s="25">
        <v>24.736999999999998</v>
      </c>
      <c r="R8" s="25">
        <v>163.59800000000001</v>
      </c>
      <c r="S8" s="25">
        <v>-313.44389999999999</v>
      </c>
      <c r="T8" s="25">
        <v>370.55500000000001</v>
      </c>
      <c r="U8" s="25">
        <f t="shared" si="3"/>
        <v>245.44610000000003</v>
      </c>
      <c r="V8" s="25">
        <v>-272.80763100000001</v>
      </c>
      <c r="W8" s="25">
        <v>266.52800000000002</v>
      </c>
      <c r="X8" s="25">
        <v>-172.77972400000209</v>
      </c>
      <c r="Y8" s="25">
        <v>-312.93066803724406</v>
      </c>
      <c r="Z8" s="25">
        <f t="shared" si="4"/>
        <v>-491.99002303724615</v>
      </c>
    </row>
    <row r="9" spans="1:26" x14ac:dyDescent="0.3">
      <c r="A9" s="6" t="s">
        <v>93</v>
      </c>
      <c r="B9" s="26">
        <v>-139.1</v>
      </c>
      <c r="C9" s="26">
        <v>152.31399999999999</v>
      </c>
      <c r="D9" s="26">
        <v>-209.98877265708387</v>
      </c>
      <c r="E9" s="26">
        <v>349.63367990221707</v>
      </c>
      <c r="F9" s="26">
        <f t="shared" si="0"/>
        <v>152.8589072451332</v>
      </c>
      <c r="G9" s="26">
        <v>-251.19515543355479</v>
      </c>
      <c r="H9" s="26">
        <v>114.20376498529119</v>
      </c>
      <c r="I9" s="26">
        <v>-101.58877268222265</v>
      </c>
      <c r="J9" s="26">
        <v>353.3258744281128</v>
      </c>
      <c r="K9" s="26">
        <f>+SUM(G9:J9)</f>
        <v>114.74571129762654</v>
      </c>
      <c r="L9" s="26">
        <v>-238.10800963889</v>
      </c>
      <c r="M9" s="26">
        <f>+SUM(M3:M8)</f>
        <v>674.54300000000001</v>
      </c>
      <c r="N9" s="26">
        <f>+SUM(N3:N8)</f>
        <v>-640.09312499999999</v>
      </c>
      <c r="O9" s="26">
        <f>+SUM(O3:O8)</f>
        <v>394.63832999999863</v>
      </c>
      <c r="P9" s="26">
        <f>+SUM(L9:O9)</f>
        <v>190.98019536110866</v>
      </c>
      <c r="Q9" s="26">
        <f t="shared" ref="Q9:Y9" si="5">+SUM(Q3:Q8)</f>
        <v>116.755</v>
      </c>
      <c r="R9" s="26">
        <f t="shared" si="5"/>
        <v>1090.0010360000008</v>
      </c>
      <c r="S9" s="26">
        <f t="shared" si="5"/>
        <v>-1240.5370738472202</v>
      </c>
      <c r="T9" s="26">
        <f t="shared" si="5"/>
        <v>975.40945706126672</v>
      </c>
      <c r="U9" s="26">
        <f t="shared" si="5"/>
        <v>941.62841921404754</v>
      </c>
      <c r="V9" s="26">
        <f t="shared" si="5"/>
        <v>-401.01653630962983</v>
      </c>
      <c r="W9" s="26">
        <f t="shared" si="5"/>
        <v>629.91476421951779</v>
      </c>
      <c r="X9" s="26">
        <f t="shared" si="5"/>
        <v>-543.82874390988877</v>
      </c>
      <c r="Y9" s="26">
        <f t="shared" si="5"/>
        <v>340.68825396275366</v>
      </c>
      <c r="Z9" s="26">
        <f t="shared" ref="Z9" si="6">+SUM(Z3:Z8)</f>
        <v>25.757737962752799</v>
      </c>
    </row>
    <row r="10" spans="1:26" ht="22.8" x14ac:dyDescent="0.4">
      <c r="A10" s="27"/>
      <c r="B10" s="28"/>
      <c r="C10" s="28"/>
      <c r="D10" s="29"/>
      <c r="E10" s="30"/>
      <c r="F10" s="31"/>
      <c r="G10" s="31"/>
      <c r="H10" s="31"/>
      <c r="I10" s="31"/>
      <c r="J10" s="31"/>
      <c r="K10" s="31"/>
      <c r="L10" s="27"/>
      <c r="M10" s="27"/>
      <c r="N10" s="27"/>
      <c r="O10" s="27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x14ac:dyDescent="0.3">
      <c r="A11" s="2" t="s">
        <v>94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x14ac:dyDescent="0.3">
      <c r="A12" s="5" t="s">
        <v>95</v>
      </c>
      <c r="B12" s="25">
        <v>-10.129</v>
      </c>
      <c r="C12" s="25">
        <v>-14.48</v>
      </c>
      <c r="D12" s="25">
        <v>-11.4005620146949</v>
      </c>
      <c r="E12" s="25">
        <v>-37.506563564103601</v>
      </c>
      <c r="F12" s="25">
        <v>-73.516125578798494</v>
      </c>
      <c r="G12" s="25">
        <v>-21.42848560327576</v>
      </c>
      <c r="H12" s="25">
        <v>-18.590604001986605</v>
      </c>
      <c r="I12" s="25">
        <v>-14.193175478738242</v>
      </c>
      <c r="J12" s="25">
        <v>-15.297700359626091</v>
      </c>
      <c r="K12" s="25">
        <v>-69.509965443626697</v>
      </c>
      <c r="L12" s="25">
        <v>-19.399999999999999</v>
      </c>
      <c r="M12" s="25">
        <v>-22.5</v>
      </c>
      <c r="N12" s="25">
        <v>-12.3</v>
      </c>
      <c r="O12" s="77">
        <v>-30.966999999999999</v>
      </c>
      <c r="P12" s="25">
        <f t="shared" ref="P12" si="7">+SUM(L12:O12)</f>
        <v>-85.167000000000002</v>
      </c>
      <c r="Q12" s="25">
        <v>-18.734000000000002</v>
      </c>
      <c r="R12" s="25">
        <v>-28.810051999999999</v>
      </c>
      <c r="S12" s="25">
        <v>-17.686581381471559</v>
      </c>
      <c r="T12" s="25">
        <v>-28.744800000000001</v>
      </c>
      <c r="U12" s="25">
        <f t="shared" ref="U12:U13" si="8">+SUM(Q12:T12)</f>
        <v>-93.975433381471561</v>
      </c>
      <c r="V12" s="25">
        <v>-13.545541682520724</v>
      </c>
      <c r="W12" s="25">
        <v>-21.504000000000001</v>
      </c>
      <c r="X12" s="25">
        <v>-18.23</v>
      </c>
      <c r="Y12" s="25">
        <v>-29.528010999999992</v>
      </c>
      <c r="Z12" s="25">
        <f t="shared" ref="Z12:Z13" si="9">+SUM(V12:Y12)</f>
        <v>-82.807552682520722</v>
      </c>
    </row>
    <row r="13" spans="1:26" x14ac:dyDescent="0.3">
      <c r="A13" s="5" t="s">
        <v>152</v>
      </c>
      <c r="B13" s="11">
        <v>0</v>
      </c>
      <c r="C13" s="11">
        <v>0</v>
      </c>
      <c r="D13" s="11">
        <v>0</v>
      </c>
      <c r="E13" s="11">
        <v>0.378</v>
      </c>
      <c r="F13" s="11">
        <f t="shared" ref="F13:F14" si="10">+SUM(B13:E13)</f>
        <v>0.378</v>
      </c>
      <c r="G13" s="11">
        <v>0</v>
      </c>
      <c r="H13" s="11">
        <v>0</v>
      </c>
      <c r="I13" s="11">
        <v>0</v>
      </c>
      <c r="J13" s="11">
        <v>0</v>
      </c>
      <c r="K13" s="11">
        <f t="shared" ref="K13:K14" si="11">+SUM(G13:J13)</f>
        <v>0</v>
      </c>
      <c r="L13" s="11">
        <v>0</v>
      </c>
      <c r="M13" s="11">
        <v>0</v>
      </c>
      <c r="N13" s="11"/>
      <c r="O13" s="11"/>
      <c r="P13" s="11">
        <f t="shared" ref="P13:P14" si="12">+SUM(L13:O13)</f>
        <v>0</v>
      </c>
      <c r="Q13" s="11"/>
      <c r="R13" s="11"/>
      <c r="S13" s="11"/>
      <c r="T13" s="11"/>
      <c r="U13" s="11">
        <f t="shared" si="8"/>
        <v>0</v>
      </c>
      <c r="V13" s="11"/>
      <c r="W13" s="11">
        <v>-122.575</v>
      </c>
      <c r="X13" s="11">
        <v>-36.014953000000006</v>
      </c>
      <c r="Y13" s="11">
        <v>-2319.3099764872995</v>
      </c>
      <c r="Z13" s="91">
        <f t="shared" si="9"/>
        <v>-2477.8999294872997</v>
      </c>
    </row>
    <row r="14" spans="1:26" x14ac:dyDescent="0.3">
      <c r="A14" s="33" t="s">
        <v>96</v>
      </c>
      <c r="B14" s="34">
        <v>-10.129</v>
      </c>
      <c r="C14" s="34">
        <v>-14.48</v>
      </c>
      <c r="D14" s="34">
        <v>-11.4005620146949</v>
      </c>
      <c r="E14" s="34">
        <v>-37.506563564103601</v>
      </c>
      <c r="F14" s="34">
        <f t="shared" si="10"/>
        <v>-73.516125578798494</v>
      </c>
      <c r="G14" s="34">
        <v>-21.42848560327576</v>
      </c>
      <c r="H14" s="34">
        <v>-18.590604001986605</v>
      </c>
      <c r="I14" s="34">
        <v>-14.193175478738242</v>
      </c>
      <c r="J14" s="34">
        <v>-15.297700359626091</v>
      </c>
      <c r="K14" s="34">
        <f t="shared" si="11"/>
        <v>-69.509965443626697</v>
      </c>
      <c r="L14" s="34">
        <f t="shared" ref="L14:N14" si="13">+SUM(L12:L13)</f>
        <v>-19.399999999999999</v>
      </c>
      <c r="M14" s="34">
        <f t="shared" si="13"/>
        <v>-22.5</v>
      </c>
      <c r="N14" s="34">
        <f t="shared" si="13"/>
        <v>-12.3</v>
      </c>
      <c r="O14" s="34">
        <f>+SUM(O12:O13)</f>
        <v>-30.966999999999999</v>
      </c>
      <c r="P14" s="34">
        <f t="shared" si="12"/>
        <v>-85.167000000000002</v>
      </c>
      <c r="Q14" s="34">
        <f t="shared" ref="Q14:Y14" si="14">+SUM(Q12:Q13)</f>
        <v>-18.734000000000002</v>
      </c>
      <c r="R14" s="34">
        <f t="shared" si="14"/>
        <v>-28.810051999999999</v>
      </c>
      <c r="S14" s="34">
        <f t="shared" si="14"/>
        <v>-17.686581381471559</v>
      </c>
      <c r="T14" s="34">
        <f t="shared" si="14"/>
        <v>-28.744800000000001</v>
      </c>
      <c r="U14" s="34">
        <f t="shared" si="14"/>
        <v>-93.975433381471561</v>
      </c>
      <c r="V14" s="34">
        <f t="shared" si="14"/>
        <v>-13.545541682520724</v>
      </c>
      <c r="W14" s="34">
        <f t="shared" si="14"/>
        <v>-144.07900000000001</v>
      </c>
      <c r="X14" s="34">
        <f t="shared" si="14"/>
        <v>-54.24495300000001</v>
      </c>
      <c r="Y14" s="34">
        <f t="shared" si="14"/>
        <v>-2348.8379874872994</v>
      </c>
      <c r="Z14" s="34">
        <f t="shared" ref="Z14" si="15">+SUM(Z12:Z13)</f>
        <v>-2560.7074821698202</v>
      </c>
    </row>
    <row r="15" spans="1:26" ht="22.8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3">
      <c r="A16" s="2" t="s">
        <v>97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5" t="s">
        <v>98</v>
      </c>
      <c r="B17" s="25">
        <v>-12.72</v>
      </c>
      <c r="C17" s="25">
        <v>-14.912000000000001</v>
      </c>
      <c r="D17" s="25">
        <v>-13.647540374490395</v>
      </c>
      <c r="E17" s="25">
        <v>-15.702489210709107</v>
      </c>
      <c r="F17" s="25">
        <f>+SUM(B17:E17)</f>
        <v>-56.982029585199498</v>
      </c>
      <c r="G17" s="25">
        <v>-9.7701350997299095</v>
      </c>
      <c r="H17" s="25">
        <v>-9.982102677233982</v>
      </c>
      <c r="I17" s="25">
        <v>-11.887595196836701</v>
      </c>
      <c r="J17" s="25">
        <v>-9.0691675600378581</v>
      </c>
      <c r="K17" s="25">
        <f>+SUM(G17:J17)</f>
        <v>-40.709000533838449</v>
      </c>
      <c r="L17" s="25">
        <v>-8.2749041473577094</v>
      </c>
      <c r="M17" s="25">
        <v>-8.4220000000000006</v>
      </c>
      <c r="N17" s="25">
        <v>-11.83052</v>
      </c>
      <c r="O17" s="25">
        <v>-27.033859999999997</v>
      </c>
      <c r="P17" s="25">
        <f>+SUM(L17:O17)</f>
        <v>-55.561284147357711</v>
      </c>
      <c r="Q17" s="25">
        <f>-10.47</f>
        <v>-10.47</v>
      </c>
      <c r="R17" s="25">
        <v>-21.077999999999999</v>
      </c>
      <c r="S17" s="25">
        <v>-6.0015545550169191</v>
      </c>
      <c r="T17" s="25">
        <v>-6.3493298707002683</v>
      </c>
      <c r="U17" s="25">
        <f t="shared" ref="U17:U22" si="16">+SUM(Q17:T17)</f>
        <v>-43.898884425717185</v>
      </c>
      <c r="V17" s="25">
        <v>-5.1369879747414284</v>
      </c>
      <c r="W17" s="25">
        <v>-7.5200076026260616</v>
      </c>
      <c r="X17" s="25">
        <v>-3.71800442263251</v>
      </c>
      <c r="Y17" s="25">
        <v>-25.682053</v>
      </c>
      <c r="Z17" s="25">
        <f t="shared" ref="Z17:Z22" si="17">+SUM(V17:Y17)</f>
        <v>-42.057052999999996</v>
      </c>
    </row>
    <row r="18" spans="1:26" x14ac:dyDescent="0.3">
      <c r="A18" s="5" t="s">
        <v>99</v>
      </c>
      <c r="B18" s="11">
        <v>0</v>
      </c>
      <c r="C18" s="11">
        <v>0</v>
      </c>
      <c r="D18" s="11">
        <v>0</v>
      </c>
      <c r="E18" s="25">
        <v>348.61188900000002</v>
      </c>
      <c r="F18" s="25">
        <f t="shared" ref="F18:F24" si="18">+SUM(B18:E18)</f>
        <v>348.61188900000002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K24" si="19">+SUM(G18:J18)</f>
        <v>0</v>
      </c>
      <c r="L18" s="11">
        <v>0</v>
      </c>
      <c r="M18" s="11">
        <v>0</v>
      </c>
      <c r="N18" s="11">
        <v>0</v>
      </c>
      <c r="O18" s="11">
        <v>34.966000000000001</v>
      </c>
      <c r="P18" s="11">
        <f t="shared" ref="P18:P24" si="20">+SUM(L18:O18)</f>
        <v>34.966000000000001</v>
      </c>
      <c r="Q18" s="11"/>
      <c r="R18" s="11">
        <v>296.64052500000003</v>
      </c>
      <c r="S18" s="11">
        <v>0</v>
      </c>
      <c r="T18" s="11">
        <f>(38489.2129999999+24672)/1000</f>
        <v>63.161212999999904</v>
      </c>
      <c r="U18" s="11">
        <f t="shared" si="16"/>
        <v>359.80173799999994</v>
      </c>
      <c r="V18" s="11">
        <v>0</v>
      </c>
      <c r="W18" s="11"/>
      <c r="X18" s="11"/>
      <c r="Y18" s="11">
        <v>685.892248</v>
      </c>
      <c r="Z18" s="11">
        <f t="shared" si="17"/>
        <v>685.892248</v>
      </c>
    </row>
    <row r="19" spans="1:26" x14ac:dyDescent="0.3">
      <c r="A19" s="5" t="s">
        <v>100</v>
      </c>
      <c r="B19" s="11">
        <v>0</v>
      </c>
      <c r="C19" s="11">
        <v>0</v>
      </c>
      <c r="D19" s="11">
        <v>0</v>
      </c>
      <c r="E19" s="11">
        <v>0</v>
      </c>
      <c r="F19" s="11">
        <f t="shared" si="18"/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19"/>
        <v>0</v>
      </c>
      <c r="L19" s="11">
        <v>-10.843999999999999</v>
      </c>
      <c r="M19" s="11">
        <v>-10.46</v>
      </c>
      <c r="N19" s="11">
        <v>-10.33</v>
      </c>
      <c r="O19" s="11">
        <v>0.09</v>
      </c>
      <c r="P19" s="11">
        <f t="shared" si="20"/>
        <v>-31.544</v>
      </c>
      <c r="Q19" s="11">
        <v>7.7560000000000002</v>
      </c>
      <c r="R19" s="11"/>
      <c r="S19" s="11">
        <v>1.1507009999999991</v>
      </c>
      <c r="T19" s="11">
        <v>-0.41199999999999998</v>
      </c>
      <c r="U19" s="11">
        <f t="shared" si="16"/>
        <v>8.4947009999999992</v>
      </c>
      <c r="V19" s="11">
        <v>-3.8155349999999997</v>
      </c>
      <c r="W19" s="11"/>
      <c r="X19" s="11">
        <v>-1.4047489999999998</v>
      </c>
      <c r="Y19" s="11">
        <v>0.25596819999999937</v>
      </c>
      <c r="Z19" s="11">
        <f t="shared" si="17"/>
        <v>-4.9643158000000005</v>
      </c>
    </row>
    <row r="20" spans="1:26" x14ac:dyDescent="0.3">
      <c r="A20" s="5" t="s">
        <v>101</v>
      </c>
      <c r="B20" s="11">
        <v>0</v>
      </c>
      <c r="C20" s="25">
        <v>591.6</v>
      </c>
      <c r="D20" s="25">
        <v>-1.8536583300000056</v>
      </c>
      <c r="E20" s="11">
        <v>0</v>
      </c>
      <c r="F20" s="25">
        <f t="shared" si="18"/>
        <v>589.74634166999999</v>
      </c>
      <c r="G20" s="11">
        <v>0</v>
      </c>
      <c r="H20" s="11">
        <v>0</v>
      </c>
      <c r="I20" s="11">
        <v>0</v>
      </c>
      <c r="J20" s="11">
        <v>0</v>
      </c>
      <c r="K20" s="11">
        <f t="shared" si="19"/>
        <v>0</v>
      </c>
      <c r="L20" s="11">
        <v>0</v>
      </c>
      <c r="M20" s="11">
        <v>0</v>
      </c>
      <c r="N20" s="11">
        <v>0</v>
      </c>
      <c r="O20" s="11">
        <v>300</v>
      </c>
      <c r="P20" s="11">
        <f t="shared" si="20"/>
        <v>300</v>
      </c>
      <c r="Q20" s="11"/>
      <c r="R20" s="11">
        <v>33.921999999999997</v>
      </c>
      <c r="S20" s="11">
        <v>0</v>
      </c>
      <c r="T20" s="11">
        <v>0</v>
      </c>
      <c r="U20" s="11">
        <f t="shared" si="16"/>
        <v>33.921999999999997</v>
      </c>
      <c r="V20" s="11">
        <v>0</v>
      </c>
      <c r="W20" s="11"/>
      <c r="X20" s="11"/>
      <c r="Y20" s="11">
        <v>1800</v>
      </c>
      <c r="Z20" s="11">
        <f t="shared" si="17"/>
        <v>1800</v>
      </c>
    </row>
    <row r="21" spans="1:26" x14ac:dyDescent="0.3">
      <c r="A21" s="5" t="s">
        <v>102</v>
      </c>
      <c r="B21" s="11">
        <v>0</v>
      </c>
      <c r="C21" s="25">
        <v>-571.82899999999995</v>
      </c>
      <c r="D21" s="25">
        <v>-100.5</v>
      </c>
      <c r="E21" s="25">
        <v>-155.33456799999996</v>
      </c>
      <c r="F21" s="25">
        <f t="shared" si="18"/>
        <v>-827.66356799999994</v>
      </c>
      <c r="G21" s="11">
        <v>0</v>
      </c>
      <c r="H21" s="11">
        <v>0</v>
      </c>
      <c r="I21" s="11">
        <v>0</v>
      </c>
      <c r="J21" s="11">
        <v>0</v>
      </c>
      <c r="K21" s="11">
        <f t="shared" ref="K21" si="21">+SUM(G21:J21)</f>
        <v>0</v>
      </c>
      <c r="L21" s="25">
        <v>-6.7539999999999996</v>
      </c>
      <c r="M21" s="11">
        <v>-9.6519999999999992</v>
      </c>
      <c r="N21" s="11">
        <v>-7.5591090000000003</v>
      </c>
      <c r="O21" s="11">
        <v>-464.88299999999998</v>
      </c>
      <c r="P21" s="11">
        <f t="shared" si="20"/>
        <v>-488.84810899999997</v>
      </c>
      <c r="Q21" s="11">
        <f>-9.826</f>
        <v>-9.8260000000000005</v>
      </c>
      <c r="R21" s="11">
        <v>-10.481</v>
      </c>
      <c r="S21" s="11">
        <v>-11.348000000000001</v>
      </c>
      <c r="T21" s="11">
        <v>-11.207883999999998</v>
      </c>
      <c r="U21" s="11">
        <f t="shared" si="16"/>
        <v>-42.862884000000001</v>
      </c>
      <c r="V21" s="11">
        <v>-11.394562000000001</v>
      </c>
      <c r="W21" s="11">
        <v>-14.048438000000001</v>
      </c>
      <c r="X21" s="11">
        <v>-12.995439000000003</v>
      </c>
      <c r="Y21" s="11">
        <v>-14.947303999999997</v>
      </c>
      <c r="Z21" s="11">
        <f t="shared" si="17"/>
        <v>-53.385742999999998</v>
      </c>
    </row>
    <row r="22" spans="1:26" x14ac:dyDescent="0.3">
      <c r="A22" s="5" t="s">
        <v>103</v>
      </c>
      <c r="B22" s="25">
        <v>0.104</v>
      </c>
      <c r="C22" s="25">
        <v>-9.6579999999999995</v>
      </c>
      <c r="D22" s="25">
        <v>0.55390499999999887</v>
      </c>
      <c r="E22" s="25">
        <v>5.5950660000000001</v>
      </c>
      <c r="F22" s="25">
        <f t="shared" si="18"/>
        <v>-3.4050290000000016</v>
      </c>
      <c r="G22" s="11">
        <v>0</v>
      </c>
      <c r="H22" s="25">
        <v>7.1052920000000004</v>
      </c>
      <c r="I22" s="25">
        <v>-2.9076340000000007</v>
      </c>
      <c r="J22" s="25">
        <v>-3.58170177</v>
      </c>
      <c r="K22" s="25">
        <f t="shared" si="19"/>
        <v>0.61595622999999966</v>
      </c>
      <c r="L22" s="25">
        <v>-2.92</v>
      </c>
      <c r="M22" s="25">
        <v>0</v>
      </c>
      <c r="N22" s="25">
        <v>5.7569999999999997</v>
      </c>
      <c r="O22" s="25">
        <v>-5.5430000000000001</v>
      </c>
      <c r="P22" s="25">
        <f t="shared" si="20"/>
        <v>-2.7060000000000004</v>
      </c>
      <c r="Q22" s="25">
        <f>-0.306</f>
        <v>-0.30599999999999999</v>
      </c>
      <c r="R22" s="25">
        <v>0.96750000000000003</v>
      </c>
      <c r="S22" s="25">
        <v>-2.0607664999999997</v>
      </c>
      <c r="T22" s="11">
        <v>-2.363</v>
      </c>
      <c r="U22" s="11">
        <f t="shared" si="16"/>
        <v>-3.7622665</v>
      </c>
      <c r="V22" s="11"/>
      <c r="W22" s="11"/>
      <c r="X22" s="11"/>
      <c r="Y22" s="11">
        <v>-10</v>
      </c>
      <c r="Z22" s="11">
        <f t="shared" si="17"/>
        <v>-10</v>
      </c>
    </row>
    <row r="23" spans="1:26" x14ac:dyDescent="0.3">
      <c r="A23" s="5" t="s">
        <v>104</v>
      </c>
      <c r="B23" s="11">
        <v>0</v>
      </c>
      <c r="C23" s="11">
        <v>0</v>
      </c>
      <c r="D23" s="11">
        <v>0</v>
      </c>
      <c r="E23" s="11">
        <v>0</v>
      </c>
      <c r="F23" s="11">
        <f t="shared" si="18"/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ref="K23" si="22">+SUM(G23:J23)</f>
        <v>0</v>
      </c>
      <c r="L23" s="11">
        <v>0</v>
      </c>
      <c r="M23" s="11">
        <v>0</v>
      </c>
      <c r="N23" s="11"/>
      <c r="O23" s="11"/>
      <c r="P23" s="11">
        <f t="shared" si="20"/>
        <v>0</v>
      </c>
      <c r="Q23" s="11"/>
      <c r="R23" s="11"/>
      <c r="S23" s="25">
        <v>0</v>
      </c>
      <c r="T23" s="11">
        <v>0</v>
      </c>
      <c r="U23" s="11">
        <f>+SUM(Q23:T23)</f>
        <v>0</v>
      </c>
      <c r="Z23" s="11">
        <f>+SUM(V23:Y23)</f>
        <v>0</v>
      </c>
    </row>
    <row r="24" spans="1:26" x14ac:dyDescent="0.3">
      <c r="A24" s="6" t="s">
        <v>105</v>
      </c>
      <c r="B24" s="26">
        <v>-12.616</v>
      </c>
      <c r="C24" s="26">
        <v>-4.798</v>
      </c>
      <c r="D24" s="26">
        <v>-115.44629370449042</v>
      </c>
      <c r="E24" s="26">
        <v>183.16989778929093</v>
      </c>
      <c r="F24" s="26">
        <f t="shared" si="18"/>
        <v>50.309604084800526</v>
      </c>
      <c r="G24" s="26">
        <v>-9.7701350997299095</v>
      </c>
      <c r="H24" s="26">
        <v>-2.8768106772339825</v>
      </c>
      <c r="I24" s="26">
        <v>-14.795229196836702</v>
      </c>
      <c r="J24" s="26">
        <v>-12.650869330037859</v>
      </c>
      <c r="K24" s="26">
        <f t="shared" si="19"/>
        <v>-40.093044303838454</v>
      </c>
      <c r="L24" s="26">
        <f>+SUM(L17:L22)</f>
        <v>-28.79290414735771</v>
      </c>
      <c r="M24" s="26">
        <f>+SUM(M17:M22)</f>
        <v>-28.533999999999999</v>
      </c>
      <c r="N24" s="26">
        <f>+SUM(N17:N22)</f>
        <v>-23.962629</v>
      </c>
      <c r="O24" s="26">
        <f>+SUM(O17:O22)</f>
        <v>-162.40386000000001</v>
      </c>
      <c r="P24" s="26">
        <f t="shared" si="20"/>
        <v>-243.69339314735771</v>
      </c>
      <c r="Q24" s="26">
        <f t="shared" ref="Q24:Y24" si="23">+SUM(Q17:Q22)</f>
        <v>-12.846</v>
      </c>
      <c r="R24" s="26">
        <f t="shared" si="23"/>
        <v>299.97102500000005</v>
      </c>
      <c r="S24" s="26">
        <f t="shared" si="23"/>
        <v>-18.259620055016921</v>
      </c>
      <c r="T24" s="26">
        <f t="shared" si="23"/>
        <v>42.828999129299639</v>
      </c>
      <c r="U24" s="26">
        <f t="shared" si="23"/>
        <v>311.69440407428272</v>
      </c>
      <c r="V24" s="26">
        <f t="shared" si="23"/>
        <v>-20.347084974741428</v>
      </c>
      <c r="W24" s="26">
        <f t="shared" si="23"/>
        <v>-21.568445602626063</v>
      </c>
      <c r="X24" s="26">
        <f t="shared" si="23"/>
        <v>-18.118192422632511</v>
      </c>
      <c r="Y24" s="26">
        <f t="shared" si="23"/>
        <v>2435.5188592</v>
      </c>
      <c r="Z24" s="26">
        <f t="shared" ref="Z24" si="24">+SUM(Z17:Z22)</f>
        <v>2375.4851361999999</v>
      </c>
    </row>
    <row r="25" spans="1:26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3">
      <c r="A26" s="5" t="s">
        <v>106</v>
      </c>
      <c r="B26" s="25">
        <v>-161.845</v>
      </c>
      <c r="C26" s="25">
        <v>133.036</v>
      </c>
      <c r="D26" s="25">
        <v>-336.83662837626918</v>
      </c>
      <c r="E26" s="25">
        <v>495.29701412740451</v>
      </c>
      <c r="F26" s="25">
        <f>+SUM(B26:E26)</f>
        <v>129.65138575113531</v>
      </c>
      <c r="G26" s="25">
        <v>-282.39377613656046</v>
      </c>
      <c r="H26" s="25">
        <v>92.736350306070605</v>
      </c>
      <c r="I26" s="25">
        <v>-130.57717735779761</v>
      </c>
      <c r="J26" s="25">
        <v>325.37730473844886</v>
      </c>
      <c r="K26" s="25">
        <f>+SUM(G26:J26)</f>
        <v>5.1427015501614051</v>
      </c>
      <c r="L26" s="25">
        <f>+L24+L14+L9</f>
        <v>-286.30091378624769</v>
      </c>
      <c r="M26" s="25">
        <f>+M24+M14+M9</f>
        <v>623.50900000000001</v>
      </c>
      <c r="N26" s="25">
        <f>+N24+N14+N9</f>
        <v>-676.35575399999993</v>
      </c>
      <c r="O26" s="25">
        <f>+O24+O14+O9</f>
        <v>201.26746999999864</v>
      </c>
      <c r="P26" s="25">
        <f>+SUM(L26:O26)</f>
        <v>-137.88019778624897</v>
      </c>
      <c r="Q26" s="25">
        <f>+Q24+Q14+Q9</f>
        <v>85.174999999999997</v>
      </c>
      <c r="R26" s="25">
        <f>+R24+R14+R9</f>
        <v>1361.1620090000008</v>
      </c>
      <c r="S26" s="25">
        <f>+S24+S14+S9</f>
        <v>-1276.4832752837087</v>
      </c>
      <c r="T26" s="25">
        <f>+T24+T14+T9</f>
        <v>989.49365619056641</v>
      </c>
      <c r="U26" s="25">
        <f t="shared" ref="U26:U28" si="25">+SUM(Q26:T26)</f>
        <v>1159.3473899068586</v>
      </c>
      <c r="V26" s="25">
        <f>(+V24+V14+V9)</f>
        <v>-434.90916296689198</v>
      </c>
      <c r="W26" s="25">
        <f>(+W24+W14+W9)</f>
        <v>464.26731861689171</v>
      </c>
      <c r="X26" s="25">
        <f>(+X24+X14+X9)</f>
        <v>-616.19188933252133</v>
      </c>
      <c r="Y26" s="25">
        <f>((+Y24+Y14+Y9))</f>
        <v>427.3691256754542</v>
      </c>
      <c r="Z26" s="25">
        <f t="shared" ref="Z26:Z28" si="26">+SUM(V26:Y26)</f>
        <v>-159.4646080070674</v>
      </c>
    </row>
    <row r="27" spans="1:26" x14ac:dyDescent="0.3">
      <c r="A27" s="5" t="s">
        <v>107</v>
      </c>
      <c r="B27" s="25">
        <v>227.905</v>
      </c>
      <c r="C27" s="25">
        <v>66.515000000000001</v>
      </c>
      <c r="D27" s="25">
        <v>204.72102799999993</v>
      </c>
      <c r="E27" s="25">
        <v>-136.42562600000005</v>
      </c>
      <c r="F27" s="25">
        <f>+B27</f>
        <v>227.905</v>
      </c>
      <c r="G27" s="25">
        <v>368.44242099999997</v>
      </c>
      <c r="H27" s="25">
        <v>76.440507002645603</v>
      </c>
      <c r="I27" s="25">
        <v>165.51235630220251</v>
      </c>
      <c r="J27" s="25">
        <v>33.855389999999993</v>
      </c>
      <c r="K27" s="25">
        <f>+G27</f>
        <v>368.44242099999997</v>
      </c>
      <c r="L27" s="25">
        <v>379.28193600000014</v>
      </c>
      <c r="M27" s="25">
        <v>84.034052294612479</v>
      </c>
      <c r="N27" s="25">
        <v>707.76451300000031</v>
      </c>
      <c r="O27" s="25">
        <v>40.118990999999923</v>
      </c>
      <c r="P27" s="25">
        <f>+L27</f>
        <v>379.28193600000014</v>
      </c>
      <c r="Q27" s="25">
        <v>238.81700000000001</v>
      </c>
      <c r="R27" s="25">
        <f>+Q29</f>
        <v>330.43200000000002</v>
      </c>
      <c r="S27" s="25">
        <f>+R29</f>
        <v>1689.3600090000009</v>
      </c>
      <c r="T27" s="25">
        <f>+S29</f>
        <v>412.79323371629215</v>
      </c>
      <c r="U27" s="25">
        <f>+P29</f>
        <v>238.84265714101048</v>
      </c>
      <c r="V27" s="25">
        <f>+U29</f>
        <v>1394.1439772127139</v>
      </c>
      <c r="W27" s="25">
        <v>962.05925937486802</v>
      </c>
      <c r="X27" s="25">
        <v>1414.6193639999999</v>
      </c>
      <c r="Y27" s="25">
        <f>+X29</f>
        <v>796.28587813780655</v>
      </c>
      <c r="Z27" s="25">
        <f>+U29</f>
        <v>1394.1439772127139</v>
      </c>
    </row>
    <row r="28" spans="1:26" x14ac:dyDescent="0.3">
      <c r="A28" s="5" t="s">
        <v>108</v>
      </c>
      <c r="B28" s="25">
        <v>0.45500000000000002</v>
      </c>
      <c r="C28" s="25">
        <v>5.17</v>
      </c>
      <c r="D28" s="25">
        <v>-4.3100256237306604</v>
      </c>
      <c r="E28" s="25">
        <v>9.5710328590103995</v>
      </c>
      <c r="F28" s="25">
        <f>+SUM(B28:E28)</f>
        <v>10.886007235279738</v>
      </c>
      <c r="G28" s="25">
        <v>-9.6081378607938888</v>
      </c>
      <c r="H28" s="25">
        <v>-3.664501006513714</v>
      </c>
      <c r="I28" s="25">
        <v>-1.0797889444049142</v>
      </c>
      <c r="J28" s="25">
        <v>20.049241261551273</v>
      </c>
      <c r="K28" s="25">
        <f>+SUM(G28:J28)</f>
        <v>5.696813449838757</v>
      </c>
      <c r="L28" s="25">
        <v>-8.9749699191399515</v>
      </c>
      <c r="M28" s="25">
        <v>0.246</v>
      </c>
      <c r="N28" s="25">
        <v>8.7398888463992481</v>
      </c>
      <c r="O28" s="25">
        <v>-2.57</v>
      </c>
      <c r="P28" s="25">
        <f>+SUM(L28:O28)</f>
        <v>-2.5590810727407027</v>
      </c>
      <c r="Q28" s="25">
        <v>6.44</v>
      </c>
      <c r="R28" s="25">
        <v>-2.234</v>
      </c>
      <c r="S28" s="25">
        <v>-8.3500000000000005E-2</v>
      </c>
      <c r="T28" s="25">
        <v>-8.1685698351549849</v>
      </c>
      <c r="U28" s="25">
        <f t="shared" si="25"/>
        <v>-4.0460698351549844</v>
      </c>
      <c r="V28" s="25">
        <v>2.8484148574522998</v>
      </c>
      <c r="W28" s="25">
        <v>-11.7078183277803</v>
      </c>
      <c r="X28" s="25">
        <v>-2.1415965296719799</v>
      </c>
      <c r="Y28" s="25">
        <v>-7.0372272036713435</v>
      </c>
      <c r="Z28" s="25">
        <f t="shared" si="26"/>
        <v>-18.038227203671322</v>
      </c>
    </row>
    <row r="29" spans="1:26" x14ac:dyDescent="0.3">
      <c r="A29" s="35" t="s">
        <v>109</v>
      </c>
      <c r="B29" s="36">
        <v>66.515000000000001</v>
      </c>
      <c r="C29" s="36">
        <v>204.721</v>
      </c>
      <c r="D29" s="36">
        <v>-136.42562599999994</v>
      </c>
      <c r="E29" s="36">
        <v>368.44242098641485</v>
      </c>
      <c r="F29" s="36">
        <f>+SUM(F26:F28)</f>
        <v>368.44239298641503</v>
      </c>
      <c r="G29" s="36">
        <v>76.440507002645603</v>
      </c>
      <c r="H29" s="36">
        <v>165.51235630220251</v>
      </c>
      <c r="I29" s="36">
        <v>33.855389999999993</v>
      </c>
      <c r="J29" s="36">
        <v>379.28193600000014</v>
      </c>
      <c r="K29" s="36">
        <f>+SUM(K26:K28)</f>
        <v>379.28193600000014</v>
      </c>
      <c r="L29" s="36">
        <v>84.034052294612479</v>
      </c>
      <c r="M29" s="36">
        <f t="shared" ref="M29:X29" si="27">+SUM(M26:M28)</f>
        <v>707.78905229461247</v>
      </c>
      <c r="N29" s="36">
        <f t="shared" si="27"/>
        <v>40.148647846399619</v>
      </c>
      <c r="O29" s="36">
        <f t="shared" si="27"/>
        <v>238.81646099999858</v>
      </c>
      <c r="P29" s="36">
        <f t="shared" si="27"/>
        <v>238.84265714101048</v>
      </c>
      <c r="Q29" s="36">
        <f t="shared" si="27"/>
        <v>330.43200000000002</v>
      </c>
      <c r="R29" s="36">
        <f t="shared" si="27"/>
        <v>1689.3600090000009</v>
      </c>
      <c r="S29" s="36">
        <f t="shared" si="27"/>
        <v>412.79323371629215</v>
      </c>
      <c r="T29" s="36">
        <f t="shared" si="27"/>
        <v>1394.1183200717035</v>
      </c>
      <c r="U29" s="36">
        <f t="shared" si="27"/>
        <v>1394.1439772127139</v>
      </c>
      <c r="V29" s="36">
        <f t="shared" si="27"/>
        <v>962.08322910327433</v>
      </c>
      <c r="W29" s="36">
        <f t="shared" si="27"/>
        <v>1414.6187596639793</v>
      </c>
      <c r="X29" s="36">
        <f t="shared" si="27"/>
        <v>796.28587813780655</v>
      </c>
      <c r="Y29" s="36">
        <f>+SUM(Y26:Y28)</f>
        <v>1216.6177766095893</v>
      </c>
      <c r="Z29" s="36">
        <f t="shared" ref="Z29" si="28">+SUM(Z26:Z28)</f>
        <v>1216.6411420019751</v>
      </c>
    </row>
  </sheetData>
  <phoneticPr fontId="16" type="noConversion"/>
  <pageMargins left="0.7" right="0.7" top="0.75" bottom="0.75" header="0.3" footer="0.3"/>
  <pageSetup paperSize="9" orientation="portrait" r:id="rId1"/>
  <ignoredErrors>
    <ignoredError sqref="K19 P12 L24:M24 S24" formulaRange="1"/>
    <ignoredError sqref="F27 K27 P24:P27 P9 P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5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6.21875" defaultRowHeight="14.4" x14ac:dyDescent="0.3"/>
  <cols>
    <col min="1" max="1" width="18" style="18" bestFit="1" customWidth="1"/>
    <col min="2" max="15" width="6.44140625" style="18" bestFit="1" customWidth="1"/>
    <col min="16" max="16" width="7.21875" style="18" bestFit="1" customWidth="1"/>
    <col min="17" max="20" width="6.44140625" style="18" bestFit="1" customWidth="1"/>
    <col min="21" max="23" width="7.21875" style="18" bestFit="1" customWidth="1"/>
    <col min="24" max="25" width="8" style="18" customWidth="1"/>
    <col min="26" max="26" width="7.21875" style="18" bestFit="1" customWidth="1"/>
    <col min="27" max="16384" width="6.21875" style="18"/>
  </cols>
  <sheetData>
    <row r="1" spans="1:26" x14ac:dyDescent="0.3">
      <c r="A1" s="9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7">
        <v>2017</v>
      </c>
      <c r="G1" s="24" t="s">
        <v>5</v>
      </c>
      <c r="H1" s="24" t="s">
        <v>6</v>
      </c>
      <c r="I1" s="24" t="s">
        <v>7</v>
      </c>
      <c r="J1" s="24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  <c r="Y1" s="7" t="s">
        <v>155</v>
      </c>
      <c r="Z1" s="7">
        <v>2021</v>
      </c>
    </row>
    <row r="2" spans="1:26" ht="12.6" customHeight="1" x14ac:dyDescent="0.3">
      <c r="A2" s="2" t="s">
        <v>110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x14ac:dyDescent="0.3">
      <c r="A3" s="5" t="s">
        <v>111</v>
      </c>
      <c r="B3" s="11">
        <v>889.71428952639462</v>
      </c>
      <c r="C3" s="11">
        <v>1134.2227104736055</v>
      </c>
      <c r="D3" s="11">
        <v>615.10003875299026</v>
      </c>
      <c r="E3" s="11">
        <v>1342.7862020172724</v>
      </c>
      <c r="F3" s="11">
        <f>+SUM(B3:E3)</f>
        <v>3981.8232407702626</v>
      </c>
      <c r="G3" s="11">
        <v>1154.6760082298099</v>
      </c>
      <c r="H3" s="11">
        <v>1473.0058785131407</v>
      </c>
      <c r="I3" s="11">
        <v>801.78424487773793</v>
      </c>
      <c r="J3" s="11">
        <v>1691.805568562449</v>
      </c>
      <c r="K3" s="11">
        <f>+SUM(G3:J3)</f>
        <v>5121.271700183137</v>
      </c>
      <c r="L3" s="11">
        <v>1545.4097779999997</v>
      </c>
      <c r="M3" s="11">
        <v>1591.1058680000006</v>
      </c>
      <c r="N3" s="11">
        <v>993.79905099999996</v>
      </c>
      <c r="O3" s="11">
        <v>1964.4372355721755</v>
      </c>
      <c r="P3" s="11">
        <f>+SUM(L3:O3)</f>
        <v>6094.7519325721751</v>
      </c>
      <c r="Q3" s="11">
        <v>1829.7292809999999</v>
      </c>
      <c r="R3" s="11">
        <v>2187.3304220000009</v>
      </c>
      <c r="S3" s="11">
        <v>1356.8431380000002</v>
      </c>
      <c r="T3" s="11">
        <v>2446.0287819999985</v>
      </c>
      <c r="U3" s="11">
        <f>+SUM(Q3:T3)</f>
        <v>7819.9316229999995</v>
      </c>
      <c r="V3" s="11">
        <v>2391.5226950000001</v>
      </c>
      <c r="W3" s="11">
        <v>2774.9302980000002</v>
      </c>
      <c r="X3" s="11">
        <v>1776.5057120000004</v>
      </c>
      <c r="Y3" s="11">
        <v>2982.3923729999988</v>
      </c>
      <c r="Z3" s="11">
        <f>+SUM(V3:Y3)</f>
        <v>9925.3510779999997</v>
      </c>
    </row>
    <row r="4" spans="1:26" x14ac:dyDescent="0.3">
      <c r="A4" s="5" t="s">
        <v>112</v>
      </c>
      <c r="B4" s="11">
        <v>202.61007266744022</v>
      </c>
      <c r="C4" s="11">
        <v>812.42792733255988</v>
      </c>
      <c r="D4" s="11">
        <v>216.90751736346934</v>
      </c>
      <c r="E4" s="11">
        <v>499.4381002430315</v>
      </c>
      <c r="F4" s="11">
        <f t="shared" ref="F4:F17" si="0">+SUM(B4:E4)</f>
        <v>1731.383617606501</v>
      </c>
      <c r="G4" s="11">
        <v>277.69722408060051</v>
      </c>
      <c r="H4" s="11">
        <v>771.56198682862851</v>
      </c>
      <c r="I4" s="11">
        <v>374.02896367332852</v>
      </c>
      <c r="J4" s="11">
        <v>407.50559468937223</v>
      </c>
      <c r="K4" s="11">
        <f t="shared" ref="K4:K9" si="1">+SUM(G4:J4)</f>
        <v>1830.7937692719297</v>
      </c>
      <c r="L4" s="11">
        <v>443.17858599999994</v>
      </c>
      <c r="M4" s="11">
        <v>1067.7029720000003</v>
      </c>
      <c r="N4" s="11">
        <v>602.1964219999993</v>
      </c>
      <c r="O4" s="11">
        <v>867.21269405045598</v>
      </c>
      <c r="P4" s="11">
        <f t="shared" ref="P4:P9" si="2">+SUM(L4:O4)</f>
        <v>2980.2906740504554</v>
      </c>
      <c r="Q4" s="11">
        <v>850.77171400000009</v>
      </c>
      <c r="R4" s="11">
        <v>1624.9674169999994</v>
      </c>
      <c r="S4" s="11">
        <v>854.63365800000031</v>
      </c>
      <c r="T4" s="11">
        <v>1444.0471220000004</v>
      </c>
      <c r="U4" s="11">
        <f t="shared" ref="U4:U9" si="3">+SUM(Q4:T4)</f>
        <v>4774.419911</v>
      </c>
      <c r="V4" s="11">
        <v>1128.1599199999998</v>
      </c>
      <c r="W4" s="11">
        <v>2365.7506610000005</v>
      </c>
      <c r="X4" s="11">
        <v>1492.0502850000003</v>
      </c>
      <c r="Y4" s="11">
        <v>1849.9055490000005</v>
      </c>
      <c r="Z4" s="11">
        <f t="shared" ref="Z4:Z9" si="4">+SUM(V4:Y4)</f>
        <v>6835.8664150000004</v>
      </c>
    </row>
    <row r="5" spans="1:26" x14ac:dyDescent="0.3">
      <c r="A5" s="5" t="s">
        <v>113</v>
      </c>
      <c r="B5" s="11">
        <v>211.04038298084092</v>
      </c>
      <c r="C5" s="11">
        <v>341.15161701915906</v>
      </c>
      <c r="D5" s="11">
        <v>368.18527841354745</v>
      </c>
      <c r="E5" s="11">
        <v>361.94361546194784</v>
      </c>
      <c r="F5" s="11">
        <f t="shared" si="0"/>
        <v>1282.3208938754951</v>
      </c>
      <c r="G5" s="11">
        <v>312.26240595409979</v>
      </c>
      <c r="H5" s="11">
        <v>609.53252438160962</v>
      </c>
      <c r="I5" s="11">
        <v>310.49645554185668</v>
      </c>
      <c r="J5" s="11">
        <v>548.89998197984414</v>
      </c>
      <c r="K5" s="11">
        <f t="shared" si="1"/>
        <v>1781.1913678574101</v>
      </c>
      <c r="L5" s="11">
        <v>444.06935000000004</v>
      </c>
      <c r="M5" s="11">
        <v>1043.8150449999996</v>
      </c>
      <c r="N5" s="11">
        <v>587.65706900000032</v>
      </c>
      <c r="O5" s="11">
        <v>776.91774971880022</v>
      </c>
      <c r="P5" s="11">
        <f t="shared" si="2"/>
        <v>2852.4592137188001</v>
      </c>
      <c r="Q5" s="11">
        <v>838.28615099999979</v>
      </c>
      <c r="R5" s="11">
        <v>1330.1053949999998</v>
      </c>
      <c r="S5" s="11">
        <v>950.86916000000065</v>
      </c>
      <c r="T5" s="11">
        <v>1133.5770659999996</v>
      </c>
      <c r="U5" s="11">
        <f t="shared" si="3"/>
        <v>4252.8377719999999</v>
      </c>
      <c r="V5" s="11">
        <v>1162.0969440000001</v>
      </c>
      <c r="W5" s="11">
        <v>1847.4727779999998</v>
      </c>
      <c r="X5" s="11">
        <v>1293.989663999999</v>
      </c>
      <c r="Y5" s="11">
        <v>2266.412846000002</v>
      </c>
      <c r="Z5" s="11">
        <f t="shared" si="4"/>
        <v>6569.972232000001</v>
      </c>
    </row>
    <row r="6" spans="1:26" x14ac:dyDescent="0.3">
      <c r="A6" s="5" t="s">
        <v>114</v>
      </c>
      <c r="B6" s="11">
        <v>72.302297812874428</v>
      </c>
      <c r="C6" s="11">
        <v>139.61970218712557</v>
      </c>
      <c r="D6" s="11">
        <v>66.259085636813779</v>
      </c>
      <c r="E6" s="11">
        <v>93.607992964199681</v>
      </c>
      <c r="F6" s="11">
        <f t="shared" si="0"/>
        <v>371.7890786010135</v>
      </c>
      <c r="G6" s="11">
        <v>127.13214888900055</v>
      </c>
      <c r="H6" s="11">
        <v>225.54974312245298</v>
      </c>
      <c r="I6" s="11">
        <v>147.90715351015049</v>
      </c>
      <c r="J6" s="11">
        <v>188.20632328005752</v>
      </c>
      <c r="K6" s="11">
        <f t="shared" si="1"/>
        <v>688.79536880166154</v>
      </c>
      <c r="L6" s="11">
        <v>246.054022</v>
      </c>
      <c r="M6" s="11">
        <v>608.33791700000006</v>
      </c>
      <c r="N6" s="11">
        <v>374.147446</v>
      </c>
      <c r="O6" s="11">
        <v>650.22240078713628</v>
      </c>
      <c r="P6" s="11">
        <f t="shared" si="2"/>
        <v>1878.7617857871364</v>
      </c>
      <c r="Q6" s="11">
        <v>736.45944599999996</v>
      </c>
      <c r="R6" s="11">
        <v>1031.188167</v>
      </c>
      <c r="S6" s="11">
        <v>572.86932499999944</v>
      </c>
      <c r="T6" s="11">
        <v>717.2632940000002</v>
      </c>
      <c r="U6" s="11">
        <f t="shared" si="3"/>
        <v>3057.7802320000001</v>
      </c>
      <c r="V6" s="11">
        <v>909.98873900000001</v>
      </c>
      <c r="W6" s="11">
        <v>1172.6340260000004</v>
      </c>
      <c r="X6" s="11">
        <v>686.93499999999995</v>
      </c>
      <c r="Y6" s="11">
        <v>769.62747200000001</v>
      </c>
      <c r="Z6" s="11">
        <f t="shared" si="4"/>
        <v>3539.1852370000006</v>
      </c>
    </row>
    <row r="7" spans="1:26" x14ac:dyDescent="0.3">
      <c r="A7" s="5" t="s">
        <v>115</v>
      </c>
      <c r="B7" s="11">
        <v>5.7639341600000007</v>
      </c>
      <c r="C7" s="11">
        <v>27.70806584</v>
      </c>
      <c r="D7" s="11">
        <v>19.330118589999998</v>
      </c>
      <c r="E7" s="11">
        <v>34.968451969999997</v>
      </c>
      <c r="F7" s="11">
        <f t="shared" si="0"/>
        <v>87.770570559999996</v>
      </c>
      <c r="G7" s="11">
        <v>18.696835149999998</v>
      </c>
      <c r="H7" s="11">
        <v>22.597589359999997</v>
      </c>
      <c r="I7" s="11">
        <v>26.227680919999983</v>
      </c>
      <c r="J7" s="11">
        <v>23.151133510000015</v>
      </c>
      <c r="K7" s="11">
        <f t="shared" si="1"/>
        <v>90.673238940000005</v>
      </c>
      <c r="L7" s="11">
        <v>11.407311999999999</v>
      </c>
      <c r="M7" s="11">
        <v>11.487979000000005</v>
      </c>
      <c r="N7" s="11">
        <v>11.564305999999997</v>
      </c>
      <c r="O7" s="11">
        <v>11.784116999999998</v>
      </c>
      <c r="P7" s="11">
        <f t="shared" si="2"/>
        <v>46.243713999999997</v>
      </c>
      <c r="Q7" s="11">
        <v>13.868564000000001</v>
      </c>
      <c r="R7" s="11">
        <v>13.453633</v>
      </c>
      <c r="S7" s="11">
        <v>13.437791000000004</v>
      </c>
      <c r="T7" s="11">
        <v>13.269453999999991</v>
      </c>
      <c r="U7" s="11">
        <f t="shared" si="3"/>
        <v>54.029441999999996</v>
      </c>
      <c r="V7" s="11">
        <v>16.210024000000001</v>
      </c>
      <c r="W7" s="11">
        <v>15.535288999999997</v>
      </c>
      <c r="X7" s="11">
        <v>16.541</v>
      </c>
      <c r="Y7" s="11">
        <v>17.152754999999999</v>
      </c>
      <c r="Z7" s="11">
        <f t="shared" si="4"/>
        <v>65.439067999999992</v>
      </c>
    </row>
    <row r="8" spans="1:26" x14ac:dyDescent="0.3">
      <c r="A8" s="5" t="s">
        <v>116</v>
      </c>
      <c r="B8" s="11">
        <v>-22.899294443655851</v>
      </c>
      <c r="C8" s="11">
        <v>-53.410705556344155</v>
      </c>
      <c r="D8" s="11">
        <v>-36.050043950022634</v>
      </c>
      <c r="E8" s="11">
        <v>-41.015511421426957</v>
      </c>
      <c r="F8" s="11">
        <f t="shared" si="0"/>
        <v>-153.37555537144959</v>
      </c>
      <c r="G8" s="11">
        <v>-57.754973143021502</v>
      </c>
      <c r="H8" s="11">
        <v>-69.830423872527476</v>
      </c>
      <c r="I8" s="11">
        <v>-67.871493091670615</v>
      </c>
      <c r="J8" s="11">
        <v>-61.420581879681734</v>
      </c>
      <c r="K8" s="11">
        <f t="shared" si="1"/>
        <v>-256.8774719869013</v>
      </c>
      <c r="L8" s="11">
        <v>-50.782471000000001</v>
      </c>
      <c r="M8" s="11">
        <v>-79.795263999999989</v>
      </c>
      <c r="N8" s="11">
        <v>-69.023525000000006</v>
      </c>
      <c r="O8" s="11">
        <v>-34.885758000000003</v>
      </c>
      <c r="P8" s="11">
        <f t="shared" si="2"/>
        <v>-234.48701800000001</v>
      </c>
      <c r="Q8" s="11">
        <v>-65.162197000000006</v>
      </c>
      <c r="R8" s="11">
        <v>-92.000874999999979</v>
      </c>
      <c r="S8" s="11">
        <v>-80.504357000000013</v>
      </c>
      <c r="T8" s="11">
        <v>-121.87662799999997</v>
      </c>
      <c r="U8" s="11">
        <f t="shared" si="3"/>
        <v>-359.54405700000001</v>
      </c>
      <c r="V8" s="11">
        <v>-85.521285000000006</v>
      </c>
      <c r="W8" s="11">
        <v>-105.02746899999998</v>
      </c>
      <c r="X8" s="11">
        <v>-118.791</v>
      </c>
      <c r="Y8" s="11">
        <v>-188.14312199999998</v>
      </c>
      <c r="Z8" s="11">
        <f t="shared" si="4"/>
        <v>-497.48287599999992</v>
      </c>
    </row>
    <row r="9" spans="1:26" x14ac:dyDescent="0.3">
      <c r="A9" s="5" t="s">
        <v>117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-37.628226366391807</v>
      </c>
      <c r="H9" s="11">
        <v>-65.471240440088152</v>
      </c>
      <c r="I9" s="11">
        <v>-46.640491815062646</v>
      </c>
      <c r="J9" s="11">
        <v>-58.582274263167868</v>
      </c>
      <c r="K9" s="11">
        <f t="shared" si="1"/>
        <v>-208.32223288471047</v>
      </c>
      <c r="L9" s="11">
        <v>0</v>
      </c>
      <c r="M9" s="11">
        <v>0</v>
      </c>
      <c r="N9" s="11">
        <v>0</v>
      </c>
      <c r="O9" s="11">
        <v>0</v>
      </c>
      <c r="P9" s="11">
        <f t="shared" si="2"/>
        <v>0</v>
      </c>
      <c r="Q9" s="11">
        <v>0</v>
      </c>
      <c r="R9" s="11"/>
      <c r="S9" s="11">
        <v>0</v>
      </c>
      <c r="T9" s="11">
        <v>0</v>
      </c>
      <c r="U9" s="11">
        <f t="shared" si="3"/>
        <v>0</v>
      </c>
      <c r="V9" s="11"/>
      <c r="W9" s="11"/>
      <c r="X9" s="11"/>
      <c r="Y9" s="11"/>
      <c r="Z9" s="11">
        <f t="shared" si="4"/>
        <v>0</v>
      </c>
    </row>
    <row r="10" spans="1:26" x14ac:dyDescent="0.3">
      <c r="A10" s="6" t="s">
        <v>118</v>
      </c>
      <c r="B10" s="12">
        <f>+SUM(B3:B9)</f>
        <v>1358.5316827038941</v>
      </c>
      <c r="C10" s="12">
        <f t="shared" ref="C10:L10" si="5">+SUM(C3:C9)</f>
        <v>2401.7193172961061</v>
      </c>
      <c r="D10" s="12">
        <f t="shared" si="5"/>
        <v>1249.7319948067982</v>
      </c>
      <c r="E10" s="12">
        <f t="shared" si="5"/>
        <v>2291.7288512350242</v>
      </c>
      <c r="F10" s="12">
        <f>+SUM(F3:F9)</f>
        <v>7301.7118460418224</v>
      </c>
      <c r="G10" s="12">
        <f t="shared" si="5"/>
        <v>1795.0814227940975</v>
      </c>
      <c r="H10" s="12">
        <f t="shared" si="5"/>
        <v>2966.9460578932162</v>
      </c>
      <c r="I10" s="12">
        <f t="shared" si="5"/>
        <v>1545.9325136163404</v>
      </c>
      <c r="J10" s="12">
        <f t="shared" si="5"/>
        <v>2739.5657458788728</v>
      </c>
      <c r="K10" s="12">
        <f t="shared" si="5"/>
        <v>9047.5257401825293</v>
      </c>
      <c r="L10" s="12">
        <f t="shared" si="5"/>
        <v>2639.3365769999996</v>
      </c>
      <c r="M10" s="12">
        <f t="shared" ref="M10:Y10" si="6">+SUM(M3:M9)</f>
        <v>4242.6545169999999</v>
      </c>
      <c r="N10" s="12">
        <f t="shared" si="6"/>
        <v>2500.3407689999999</v>
      </c>
      <c r="O10" s="12">
        <f t="shared" si="6"/>
        <v>4235.6884391285676</v>
      </c>
      <c r="P10" s="12">
        <f t="shared" si="6"/>
        <v>13618.020302128567</v>
      </c>
      <c r="Q10" s="12">
        <f t="shared" si="6"/>
        <v>4203.9529590000002</v>
      </c>
      <c r="R10" s="12">
        <f t="shared" si="6"/>
        <v>6095.0441590000009</v>
      </c>
      <c r="S10" s="12">
        <f t="shared" si="6"/>
        <v>3668.1487150000007</v>
      </c>
      <c r="T10" s="12">
        <f t="shared" si="6"/>
        <v>5632.3090899999988</v>
      </c>
      <c r="U10" s="12">
        <f t="shared" si="6"/>
        <v>19599.454923000001</v>
      </c>
      <c r="V10" s="12">
        <f t="shared" si="6"/>
        <v>5522.4570370000001</v>
      </c>
      <c r="W10" s="12">
        <f t="shared" si="6"/>
        <v>8071.2955830000019</v>
      </c>
      <c r="X10" s="12">
        <f t="shared" si="6"/>
        <v>5147.2306609999996</v>
      </c>
      <c r="Y10" s="12">
        <f t="shared" si="6"/>
        <v>7697.3478730000015</v>
      </c>
      <c r="Z10" s="12">
        <f t="shared" ref="Z10" si="7">+SUM(Z3:Z9)</f>
        <v>26438.331154000003</v>
      </c>
    </row>
    <row r="11" spans="1:26" x14ac:dyDescent="0.3">
      <c r="A11" s="2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3">
      <c r="A12" s="5" t="s">
        <v>111</v>
      </c>
      <c r="B12" s="11">
        <v>175.44003521154207</v>
      </c>
      <c r="C12" s="11">
        <v>213.09196478845794</v>
      </c>
      <c r="D12" s="11">
        <v>138.4734270131552</v>
      </c>
      <c r="E12" s="11">
        <v>236.19345253099758</v>
      </c>
      <c r="F12" s="11">
        <f>+SUM(B12:E12)</f>
        <v>763.19887954415276</v>
      </c>
      <c r="G12" s="11">
        <v>197.35337680269637</v>
      </c>
      <c r="H12" s="11">
        <v>249.38499483337964</v>
      </c>
      <c r="I12" s="11">
        <v>176.02019186440728</v>
      </c>
      <c r="J12" s="11">
        <v>282.3104391130131</v>
      </c>
      <c r="K12" s="11">
        <f t="shared" ref="K12:K17" si="8">+SUM(G12:J12)</f>
        <v>905.06900261349642</v>
      </c>
      <c r="L12" s="11">
        <v>241.12891700000003</v>
      </c>
      <c r="M12" s="11">
        <v>286.82176399999986</v>
      </c>
      <c r="N12" s="11">
        <v>210.5328330000001</v>
      </c>
      <c r="O12" s="11">
        <v>297.518171</v>
      </c>
      <c r="P12" s="11">
        <f t="shared" ref="P12:P17" si="9">+SUM(L12:O12)</f>
        <v>1036.001685</v>
      </c>
      <c r="Q12" s="11">
        <v>299.90051300000005</v>
      </c>
      <c r="R12" s="11">
        <v>351.95913299999989</v>
      </c>
      <c r="S12" s="11">
        <v>235.38613899999996</v>
      </c>
      <c r="T12" s="11">
        <v>348.21130499999992</v>
      </c>
      <c r="U12" s="11">
        <f>+SUM(Q12:T12)</f>
        <v>1235.4570899999999</v>
      </c>
      <c r="V12" s="11">
        <v>346.21151900000001</v>
      </c>
      <c r="W12" s="11">
        <v>411.30325400000004</v>
      </c>
      <c r="X12" s="11">
        <v>320.041</v>
      </c>
      <c r="Y12" s="11">
        <v>438.75465474079016</v>
      </c>
      <c r="Z12" s="11">
        <f>+SUM(V12:Y12)</f>
        <v>1516.3104277407901</v>
      </c>
    </row>
    <row r="13" spans="1:26" x14ac:dyDescent="0.3">
      <c r="A13" s="5" t="s">
        <v>112</v>
      </c>
      <c r="B13" s="11">
        <v>42.582593289597554</v>
      </c>
      <c r="C13" s="11">
        <v>74.010406710402449</v>
      </c>
      <c r="D13" s="11">
        <v>40.317750090476153</v>
      </c>
      <c r="E13" s="11">
        <v>58.716389419043438</v>
      </c>
      <c r="F13" s="11">
        <f t="shared" si="0"/>
        <v>215.62713950951957</v>
      </c>
      <c r="G13" s="11">
        <v>52.58200443268759</v>
      </c>
      <c r="H13" s="11">
        <v>80.950960517596215</v>
      </c>
      <c r="I13" s="11">
        <v>60.048570407538094</v>
      </c>
      <c r="J13" s="11">
        <v>76.776692730192678</v>
      </c>
      <c r="K13" s="11">
        <f t="shared" si="8"/>
        <v>270.35822808801458</v>
      </c>
      <c r="L13" s="11">
        <v>60.947832000000012</v>
      </c>
      <c r="M13" s="11">
        <v>100.06005199999998</v>
      </c>
      <c r="N13" s="11">
        <v>79.647284000000013</v>
      </c>
      <c r="O13" s="11">
        <v>113.628293</v>
      </c>
      <c r="P13" s="11">
        <f t="shared" si="9"/>
        <v>354.28346099999999</v>
      </c>
      <c r="Q13" s="11">
        <v>89.16269699999998</v>
      </c>
      <c r="R13" s="11">
        <v>142.458752</v>
      </c>
      <c r="S13" s="11">
        <v>113.94033600000016</v>
      </c>
      <c r="T13" s="11">
        <v>150.92636899999988</v>
      </c>
      <c r="U13" s="11">
        <f t="shared" ref="U13:U17" si="10">+SUM(Q13:T13)</f>
        <v>496.48815400000001</v>
      </c>
      <c r="V13" s="11">
        <v>119.97068699999998</v>
      </c>
      <c r="W13" s="11">
        <v>178.45855900000001</v>
      </c>
      <c r="X13" s="11">
        <v>142.16395700000004</v>
      </c>
      <c r="Y13" s="11">
        <v>196.3845849999999</v>
      </c>
      <c r="Z13" s="11">
        <f t="shared" ref="Z13:Z17" si="11">+SUM(V13:Y13)</f>
        <v>636.97778799999992</v>
      </c>
    </row>
    <row r="14" spans="1:26" x14ac:dyDescent="0.3">
      <c r="A14" s="5" t="s">
        <v>113</v>
      </c>
      <c r="B14" s="11">
        <v>18.297213255918972</v>
      </c>
      <c r="C14" s="11">
        <v>28.284786744081025</v>
      </c>
      <c r="D14" s="11">
        <v>16.494668047920349</v>
      </c>
      <c r="E14" s="11">
        <v>27.63739807662672</v>
      </c>
      <c r="F14" s="11">
        <f t="shared" si="0"/>
        <v>90.71406612454706</v>
      </c>
      <c r="G14" s="11">
        <v>24.561983691158392</v>
      </c>
      <c r="H14" s="11">
        <v>34.417721280966084</v>
      </c>
      <c r="I14" s="11">
        <v>25.153443508870879</v>
      </c>
      <c r="J14" s="11">
        <v>48.345867888584934</v>
      </c>
      <c r="K14" s="11">
        <f t="shared" si="8"/>
        <v>132.47901636958028</v>
      </c>
      <c r="L14" s="11">
        <v>42.204440999999996</v>
      </c>
      <c r="M14" s="11">
        <v>53.805899999999987</v>
      </c>
      <c r="N14" s="11">
        <v>51.260345000000001</v>
      </c>
      <c r="O14" s="11">
        <v>50.388890999999973</v>
      </c>
      <c r="P14" s="11">
        <f t="shared" si="9"/>
        <v>197.65957699999996</v>
      </c>
      <c r="Q14" s="11">
        <v>61.379643000000002</v>
      </c>
      <c r="R14" s="11">
        <v>96.301926000000009</v>
      </c>
      <c r="S14" s="11">
        <v>64.592994999999959</v>
      </c>
      <c r="T14" s="11">
        <v>81.425380999999959</v>
      </c>
      <c r="U14" s="11">
        <f t="shared" si="10"/>
        <v>303.69994499999996</v>
      </c>
      <c r="V14" s="11">
        <v>80.436309000000008</v>
      </c>
      <c r="W14" s="11">
        <v>121.70505999999997</v>
      </c>
      <c r="X14" s="11">
        <v>79.41783599999998</v>
      </c>
      <c r="Y14" s="11">
        <v>210.06728600000008</v>
      </c>
      <c r="Z14" s="11">
        <f t="shared" si="11"/>
        <v>491.62649100000004</v>
      </c>
    </row>
    <row r="15" spans="1:26" x14ac:dyDescent="0.3">
      <c r="A15" s="5" t="s">
        <v>114</v>
      </c>
      <c r="B15" s="11">
        <v>32.075617430239355</v>
      </c>
      <c r="C15" s="11">
        <v>40.503382569760646</v>
      </c>
      <c r="D15" s="11">
        <v>29.926265683625985</v>
      </c>
      <c r="E15" s="11">
        <v>30.469971624366167</v>
      </c>
      <c r="F15" s="11">
        <f t="shared" si="0"/>
        <v>132.97523730799216</v>
      </c>
      <c r="G15" s="11">
        <v>33.750539361217044</v>
      </c>
      <c r="H15" s="11">
        <v>39.571643946001295</v>
      </c>
      <c r="I15" s="11">
        <v>39.865943126982671</v>
      </c>
      <c r="J15" s="11">
        <v>41.815262673867416</v>
      </c>
      <c r="K15" s="11">
        <f t="shared" si="8"/>
        <v>155.00338910806843</v>
      </c>
      <c r="L15" s="11">
        <v>41.677847</v>
      </c>
      <c r="M15" s="11">
        <v>58.461791999999996</v>
      </c>
      <c r="N15" s="11">
        <v>56.990129000000017</v>
      </c>
      <c r="O15" s="11">
        <v>65.155906999999971</v>
      </c>
      <c r="P15" s="11">
        <f t="shared" si="9"/>
        <v>222.28567499999997</v>
      </c>
      <c r="Q15" s="11">
        <v>67.256328999999994</v>
      </c>
      <c r="R15" s="11">
        <v>81.793598000000003</v>
      </c>
      <c r="S15" s="11">
        <v>80.902768000000009</v>
      </c>
      <c r="T15" s="11">
        <v>88.530770999999945</v>
      </c>
      <c r="U15" s="11">
        <f t="shared" si="10"/>
        <v>318.48346599999996</v>
      </c>
      <c r="V15" s="11">
        <v>90.304660999999996</v>
      </c>
      <c r="W15" s="11">
        <v>104.54906600000002</v>
      </c>
      <c r="X15" s="11">
        <v>108.99273899999994</v>
      </c>
      <c r="Y15" s="11">
        <v>113.36640300000005</v>
      </c>
      <c r="Z15" s="11">
        <f t="shared" si="11"/>
        <v>417.21286900000001</v>
      </c>
    </row>
    <row r="16" spans="1:26" x14ac:dyDescent="0.3">
      <c r="A16" s="5" t="s">
        <v>115</v>
      </c>
      <c r="B16" s="11">
        <v>13.30876312</v>
      </c>
      <c r="C16" s="11">
        <v>13.56923688</v>
      </c>
      <c r="D16" s="11">
        <v>14.978647539999999</v>
      </c>
      <c r="E16" s="11">
        <v>21.650108539999994</v>
      </c>
      <c r="F16" s="11">
        <f t="shared" si="0"/>
        <v>63.506756079999988</v>
      </c>
      <c r="G16" s="11">
        <v>14.7713322</v>
      </c>
      <c r="H16" s="11">
        <v>15.931015809999995</v>
      </c>
      <c r="I16" s="11">
        <v>20.259771319999992</v>
      </c>
      <c r="J16" s="11">
        <v>21.907328060000015</v>
      </c>
      <c r="K16" s="11">
        <f t="shared" si="8"/>
        <v>72.869447390000005</v>
      </c>
      <c r="L16" s="11">
        <v>22.439177999999998</v>
      </c>
      <c r="M16" s="11">
        <v>10.188289000000001</v>
      </c>
      <c r="N16" s="11">
        <v>9.9744109999999964</v>
      </c>
      <c r="O16" s="11">
        <v>12.293992000000006</v>
      </c>
      <c r="P16" s="11">
        <f t="shared" si="9"/>
        <v>54.895870000000002</v>
      </c>
      <c r="Q16" s="11">
        <v>14.662891</v>
      </c>
      <c r="R16" s="11">
        <v>15.109614000000001</v>
      </c>
      <c r="S16" s="11">
        <v>17.945954</v>
      </c>
      <c r="T16" s="11">
        <v>15.194512000000003</v>
      </c>
      <c r="U16" s="11">
        <f t="shared" si="10"/>
        <v>62.912971000000006</v>
      </c>
      <c r="V16" s="11">
        <v>16.133731000000001</v>
      </c>
      <c r="W16" s="11">
        <v>15.389959999999999</v>
      </c>
      <c r="X16" s="11">
        <v>16.654506000000001</v>
      </c>
      <c r="Y16" s="11">
        <v>17.174487999999997</v>
      </c>
      <c r="Z16" s="11">
        <f t="shared" si="11"/>
        <v>65.352684999999994</v>
      </c>
    </row>
    <row r="17" spans="1:26" x14ac:dyDescent="0.3">
      <c r="A17" s="5" t="s">
        <v>116</v>
      </c>
      <c r="B17" s="11">
        <v>-11.900457880632759</v>
      </c>
      <c r="C17" s="11">
        <v>-12.90554211936724</v>
      </c>
      <c r="D17" s="11">
        <v>-12.437731041224776</v>
      </c>
      <c r="E17" s="11">
        <v>-13.001983136445167</v>
      </c>
      <c r="F17" s="11">
        <f t="shared" si="0"/>
        <v>-50.245714177669946</v>
      </c>
      <c r="G17" s="11">
        <v>-13.283989659785009</v>
      </c>
      <c r="H17" s="11">
        <v>-12.727648291308633</v>
      </c>
      <c r="I17" s="11">
        <v>-11.503582229365723</v>
      </c>
      <c r="J17" s="11">
        <v>-12.155875015307386</v>
      </c>
      <c r="K17" s="11">
        <f t="shared" si="8"/>
        <v>-49.671095195766753</v>
      </c>
      <c r="L17" s="11">
        <v>-13.144727999999999</v>
      </c>
      <c r="M17" s="11">
        <v>-15.605562000000003</v>
      </c>
      <c r="N17" s="11">
        <v>-15.259415000000001</v>
      </c>
      <c r="O17" s="11">
        <v>-12.405659999999996</v>
      </c>
      <c r="P17" s="11">
        <f t="shared" si="9"/>
        <v>-56.415364999999994</v>
      </c>
      <c r="Q17" s="11">
        <v>-17.155806999999999</v>
      </c>
      <c r="R17" s="11">
        <v>-21.783953999999998</v>
      </c>
      <c r="S17" s="11">
        <v>-16.463665000000002</v>
      </c>
      <c r="T17" s="11">
        <v>-16.853386000000008</v>
      </c>
      <c r="U17" s="11">
        <f t="shared" si="10"/>
        <v>-72.256811999999996</v>
      </c>
      <c r="V17" s="11">
        <v>-18.115749999999998</v>
      </c>
      <c r="W17" s="11">
        <v>-19.788588000000004</v>
      </c>
      <c r="X17" s="11">
        <v>-25.499108999999997</v>
      </c>
      <c r="Y17" s="11">
        <v>-24.329919999999998</v>
      </c>
      <c r="Z17" s="11">
        <f t="shared" si="11"/>
        <v>-87.733367000000001</v>
      </c>
    </row>
    <row r="18" spans="1:26" x14ac:dyDescent="0.3">
      <c r="A18" s="6" t="s">
        <v>119</v>
      </c>
      <c r="B18" s="12">
        <f>+SUM(B12:B17)</f>
        <v>269.80376442666517</v>
      </c>
      <c r="C18" s="12">
        <f t="shared" ref="C18:L18" si="12">+SUM(C12:C17)</f>
        <v>356.55423557333484</v>
      </c>
      <c r="D18" s="12">
        <f t="shared" si="12"/>
        <v>227.75302733395293</v>
      </c>
      <c r="E18" s="12">
        <f t="shared" si="12"/>
        <v>361.66533705458875</v>
      </c>
      <c r="F18" s="12">
        <f t="shared" si="12"/>
        <v>1215.7763643885417</v>
      </c>
      <c r="G18" s="12">
        <f t="shared" si="12"/>
        <v>309.73524682797444</v>
      </c>
      <c r="H18" s="12">
        <f t="shared" si="12"/>
        <v>407.5286880966346</v>
      </c>
      <c r="I18" s="12">
        <f t="shared" si="12"/>
        <v>309.8443379984331</v>
      </c>
      <c r="J18" s="12">
        <f t="shared" si="12"/>
        <v>458.99971545035072</v>
      </c>
      <c r="K18" s="12">
        <f t="shared" si="12"/>
        <v>1486.1079883733928</v>
      </c>
      <c r="L18" s="12">
        <f t="shared" si="12"/>
        <v>395.25348700000006</v>
      </c>
      <c r="M18" s="12">
        <f t="shared" ref="M18:Y18" si="13">+SUM(M12:M17)</f>
        <v>493.73223499999983</v>
      </c>
      <c r="N18" s="12">
        <f t="shared" si="13"/>
        <v>393.14558700000015</v>
      </c>
      <c r="O18" s="12">
        <f t="shared" si="13"/>
        <v>526.57959399999993</v>
      </c>
      <c r="P18" s="12">
        <f t="shared" si="13"/>
        <v>1808.7109029999997</v>
      </c>
      <c r="Q18" s="12">
        <f t="shared" si="13"/>
        <v>515.20626600000003</v>
      </c>
      <c r="R18" s="12">
        <f t="shared" si="13"/>
        <v>665.83906899999988</v>
      </c>
      <c r="S18" s="12">
        <f t="shared" si="13"/>
        <v>496.30452700000012</v>
      </c>
      <c r="T18" s="12">
        <f t="shared" si="13"/>
        <v>667.43495199999984</v>
      </c>
      <c r="U18" s="12">
        <f t="shared" si="13"/>
        <v>2344.7848140000001</v>
      </c>
      <c r="V18" s="12">
        <f t="shared" si="13"/>
        <v>634.94115699999998</v>
      </c>
      <c r="W18" s="12">
        <f t="shared" si="13"/>
        <v>811.61731100000009</v>
      </c>
      <c r="X18" s="12">
        <f t="shared" si="13"/>
        <v>641.77092899999991</v>
      </c>
      <c r="Y18" s="12">
        <f t="shared" si="13"/>
        <v>951.41749674079028</v>
      </c>
      <c r="Z18" s="12">
        <f t="shared" ref="Z18" si="14">+SUM(Z12:Z17)</f>
        <v>3039.7468937407903</v>
      </c>
    </row>
    <row r="19" spans="1:26" x14ac:dyDescent="0.3">
      <c r="A19" s="2" t="s">
        <v>41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3">
      <c r="A20" s="5" t="s">
        <v>111</v>
      </c>
      <c r="B20" s="11">
        <v>28.817130026938894</v>
      </c>
      <c r="C20" s="11">
        <v>61.086869973061106</v>
      </c>
      <c r="D20" s="11">
        <v>18.311201283045868</v>
      </c>
      <c r="E20" s="11">
        <v>72.277082903126015</v>
      </c>
      <c r="F20" s="11">
        <f>+SUM(B20:E20)</f>
        <v>180.4922841861719</v>
      </c>
      <c r="G20" s="11">
        <v>41.135697648825676</v>
      </c>
      <c r="H20" s="11">
        <v>93.17411314156719</v>
      </c>
      <c r="I20" s="11">
        <v>37.29378460807839</v>
      </c>
      <c r="J20" s="11">
        <v>94.493552099491382</v>
      </c>
      <c r="K20" s="11">
        <f t="shared" ref="K20:K25" si="15">+SUM(G20:J20)</f>
        <v>266.09714749796262</v>
      </c>
      <c r="L20" s="11">
        <v>63.541372000000003</v>
      </c>
      <c r="M20" s="11">
        <v>107.869457</v>
      </c>
      <c r="N20" s="11">
        <v>60.932081999999994</v>
      </c>
      <c r="O20" s="11">
        <v>102.67947200000003</v>
      </c>
      <c r="P20" s="11">
        <f t="shared" ref="P20:P25" si="16">+SUM(L20:O20)</f>
        <v>335.02238300000005</v>
      </c>
      <c r="Q20" s="11">
        <v>94.419922999999997</v>
      </c>
      <c r="R20" s="11">
        <v>143.57572300000001</v>
      </c>
      <c r="S20" s="11">
        <v>66.813046</v>
      </c>
      <c r="T20" s="11">
        <v>110.35806399999996</v>
      </c>
      <c r="U20" s="11">
        <f>+SUM(Q20:T20)</f>
        <v>415.16675599999996</v>
      </c>
      <c r="V20" s="11">
        <v>123.36383599999999</v>
      </c>
      <c r="W20" s="11">
        <v>155.966534</v>
      </c>
      <c r="X20" s="11">
        <v>102.899</v>
      </c>
      <c r="Y20" s="11">
        <v>152.71209774079</v>
      </c>
      <c r="Z20" s="11">
        <f>+SUM(V20:Y20)</f>
        <v>534.94146774079002</v>
      </c>
    </row>
    <row r="21" spans="1:26" x14ac:dyDescent="0.3">
      <c r="A21" s="5" t="s">
        <v>112</v>
      </c>
      <c r="B21" s="11">
        <v>-10.655677817905525</v>
      </c>
      <c r="C21" s="11">
        <v>12.840677817905526</v>
      </c>
      <c r="D21" s="11">
        <v>-13.052280567488149</v>
      </c>
      <c r="E21" s="11">
        <v>-3.5879227780585681</v>
      </c>
      <c r="F21" s="11">
        <f t="shared" ref="F21:F25" si="17">+SUM(B21:E21)</f>
        <v>-14.455203345546716</v>
      </c>
      <c r="G21" s="11">
        <v>-9.9793904945648109</v>
      </c>
      <c r="H21" s="11">
        <v>13.993221559027305</v>
      </c>
      <c r="I21" s="11">
        <v>-3.7259380417265175</v>
      </c>
      <c r="J21" s="11">
        <v>2.5933272758946773</v>
      </c>
      <c r="K21" s="11">
        <f t="shared" si="15"/>
        <v>2.8812202986306534</v>
      </c>
      <c r="L21" s="11">
        <v>-9.6088070000000005</v>
      </c>
      <c r="M21" s="11">
        <v>28.254303000000004</v>
      </c>
      <c r="N21" s="11">
        <v>3.5446489999999939</v>
      </c>
      <c r="O21" s="11">
        <v>13.429142999999996</v>
      </c>
      <c r="P21" s="11">
        <f t="shared" si="16"/>
        <v>35.61928799999999</v>
      </c>
      <c r="Q21" s="11">
        <v>-10.963715000000002</v>
      </c>
      <c r="R21" s="11">
        <v>27.424024999999993</v>
      </c>
      <c r="S21" s="11">
        <v>8.0718860000000028</v>
      </c>
      <c r="T21" s="11">
        <v>30.752978999999971</v>
      </c>
      <c r="U21" s="11">
        <f t="shared" ref="U21:U24" si="18">+SUM(Q21:T21)</f>
        <v>55.285174999999967</v>
      </c>
      <c r="V21" s="11">
        <v>-4.6907999999995807E-2</v>
      </c>
      <c r="W21" s="11">
        <v>54.758382999999981</v>
      </c>
      <c r="X21" s="11">
        <v>2.9220130000000135</v>
      </c>
      <c r="Y21" s="11">
        <v>60.299990000000022</v>
      </c>
      <c r="Z21" s="11">
        <f t="shared" ref="Z21:Z24" si="19">+SUM(V21:Y21)</f>
        <v>117.93347800000002</v>
      </c>
    </row>
    <row r="22" spans="1:26" x14ac:dyDescent="0.3">
      <c r="A22" s="5" t="s">
        <v>113</v>
      </c>
      <c r="B22" s="11">
        <v>-1.14657250853111</v>
      </c>
      <c r="C22" s="11">
        <v>8.1815725085311097</v>
      </c>
      <c r="D22" s="11">
        <v>-3.8726622512938804</v>
      </c>
      <c r="E22" s="11">
        <v>2.535291378083298</v>
      </c>
      <c r="F22" s="11">
        <f t="shared" si="17"/>
        <v>5.6976291267894172</v>
      </c>
      <c r="G22" s="11">
        <v>-0.69057508948221868</v>
      </c>
      <c r="H22" s="11">
        <v>2.7594587348073438</v>
      </c>
      <c r="I22" s="11">
        <v>-10.886779676722002</v>
      </c>
      <c r="J22" s="11">
        <v>13.163534707332227</v>
      </c>
      <c r="K22" s="11">
        <f t="shared" si="15"/>
        <v>4.3456386759353496</v>
      </c>
      <c r="L22" s="11">
        <v>1.4595230000000006</v>
      </c>
      <c r="M22" s="11">
        <v>8.289381999999998</v>
      </c>
      <c r="N22" s="11">
        <v>-3.8579670000000013</v>
      </c>
      <c r="O22" s="11">
        <v>5.490536000000005</v>
      </c>
      <c r="P22" s="11">
        <f t="shared" si="16"/>
        <v>11.381474000000003</v>
      </c>
      <c r="Q22" s="11">
        <v>-4.5809610000000012</v>
      </c>
      <c r="R22" s="11">
        <v>32.076243000000005</v>
      </c>
      <c r="S22" s="11">
        <v>2.9133329999999988</v>
      </c>
      <c r="T22" s="11">
        <v>16.032852000000009</v>
      </c>
      <c r="U22" s="11">
        <f t="shared" si="18"/>
        <v>46.44146700000001</v>
      </c>
      <c r="V22" s="11">
        <v>1.655786999999993</v>
      </c>
      <c r="W22" s="11">
        <v>61.913146999999995</v>
      </c>
      <c r="X22" s="11">
        <v>-5.2201599999999964</v>
      </c>
      <c r="Y22" s="11">
        <v>56.806544999999993</v>
      </c>
      <c r="Z22" s="11">
        <f t="shared" si="19"/>
        <v>115.15531899999999</v>
      </c>
    </row>
    <row r="23" spans="1:26" x14ac:dyDescent="0.3">
      <c r="A23" s="5" t="s">
        <v>114</v>
      </c>
      <c r="B23" s="11">
        <v>-4.0832594592659737</v>
      </c>
      <c r="C23" s="11">
        <v>3.4502594592659732</v>
      </c>
      <c r="D23" s="11">
        <v>-9.0043825299465965</v>
      </c>
      <c r="E23" s="11">
        <v>-3.6078907068815553</v>
      </c>
      <c r="F23" s="11">
        <f t="shared" si="17"/>
        <v>-13.245273236828153</v>
      </c>
      <c r="G23" s="11">
        <v>-4.4685083799224481</v>
      </c>
      <c r="H23" s="11">
        <v>0.77022805586100007</v>
      </c>
      <c r="I23" s="11">
        <v>-11.446896269532328</v>
      </c>
      <c r="J23" s="11">
        <v>-6.1704386262740227</v>
      </c>
      <c r="K23" s="11">
        <f t="shared" si="15"/>
        <v>-21.315615219867798</v>
      </c>
      <c r="L23" s="11">
        <v>-9.8864830000000001</v>
      </c>
      <c r="M23" s="11">
        <v>3.4888559999999997</v>
      </c>
      <c r="N23" s="11">
        <v>-1.8385939999999992</v>
      </c>
      <c r="O23" s="11">
        <v>-0.33811399999999958</v>
      </c>
      <c r="P23" s="11">
        <f t="shared" si="16"/>
        <v>-8.5743349999999978</v>
      </c>
      <c r="Q23" s="11">
        <v>-10.238804</v>
      </c>
      <c r="R23" s="11">
        <v>-0.36259000000000013</v>
      </c>
      <c r="S23" s="11">
        <v>5.1578970000000002</v>
      </c>
      <c r="T23" s="11">
        <v>9.1374645023640007</v>
      </c>
      <c r="U23" s="11">
        <f t="shared" si="18"/>
        <v>3.693967502364</v>
      </c>
      <c r="V23" s="11">
        <v>-0.26054500000000097</v>
      </c>
      <c r="W23" s="11">
        <v>16.248995999999995</v>
      </c>
      <c r="X23" s="11">
        <v>9.6402020000000057</v>
      </c>
      <c r="Y23" s="11">
        <v>10.735774000000008</v>
      </c>
      <c r="Z23" s="11">
        <f t="shared" si="19"/>
        <v>36.364427000000006</v>
      </c>
    </row>
    <row r="24" spans="1:26" x14ac:dyDescent="0.3">
      <c r="A24" s="5" t="s">
        <v>115</v>
      </c>
      <c r="B24" s="11">
        <v>-8.0055694600000002</v>
      </c>
      <c r="C24" s="11">
        <v>-8.2474305399999999</v>
      </c>
      <c r="D24" s="11">
        <v>-1.7279926399999967</v>
      </c>
      <c r="E24" s="11">
        <v>-9.9083594400000177</v>
      </c>
      <c r="F24" s="11">
        <f t="shared" si="17"/>
        <v>-27.889352080000016</v>
      </c>
      <c r="G24" s="11">
        <v>-12.669512678246301</v>
      </c>
      <c r="H24" s="11">
        <v>-18.924218509999999</v>
      </c>
      <c r="I24" s="11">
        <v>-5.8853829645903133</v>
      </c>
      <c r="J24" s="11">
        <v>-26.38839418999995</v>
      </c>
      <c r="K24" s="11">
        <f t="shared" si="15"/>
        <v>-63.867508342836565</v>
      </c>
      <c r="L24" s="11">
        <v>-9.7248360000000016</v>
      </c>
      <c r="M24" s="11">
        <v>-23.628499000000005</v>
      </c>
      <c r="N24" s="11">
        <v>-24.473011</v>
      </c>
      <c r="O24" s="11">
        <v>-23.379982000000005</v>
      </c>
      <c r="P24" s="11">
        <f t="shared" si="16"/>
        <v>-81.206328000000013</v>
      </c>
      <c r="Q24" s="11">
        <v>-28.034633000000003</v>
      </c>
      <c r="R24" s="11">
        <v>-31.526400999999996</v>
      </c>
      <c r="S24" s="11">
        <v>-19.003135999999998</v>
      </c>
      <c r="T24" s="11">
        <v>-29.121308000000006</v>
      </c>
      <c r="U24" s="11">
        <f t="shared" si="18"/>
        <v>-107.68547799999999</v>
      </c>
      <c r="V24" s="11">
        <v>-31.683335999999997</v>
      </c>
      <c r="W24" s="11">
        <v>-33.03988600000001</v>
      </c>
      <c r="X24" s="11">
        <v>-28.878308999999994</v>
      </c>
      <c r="Y24" s="11">
        <v>-55.893862000000006</v>
      </c>
      <c r="Z24" s="11">
        <f t="shared" si="19"/>
        <v>-149.49539300000001</v>
      </c>
    </row>
    <row r="25" spans="1:26" x14ac:dyDescent="0.3">
      <c r="A25" s="5" t="s">
        <v>116</v>
      </c>
      <c r="B25" s="11">
        <v>0</v>
      </c>
      <c r="C25" s="11">
        <v>0</v>
      </c>
      <c r="D25" s="11">
        <v>0</v>
      </c>
      <c r="E25" s="11">
        <v>0</v>
      </c>
      <c r="F25" s="11">
        <f t="shared" si="17"/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15"/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6"/>
        <v>0</v>
      </c>
      <c r="Q25" s="11">
        <v>0</v>
      </c>
      <c r="R25" s="11">
        <v>0</v>
      </c>
      <c r="S25" s="11">
        <v>0</v>
      </c>
      <c r="T25" s="11">
        <v>0</v>
      </c>
      <c r="U25" s="11"/>
      <c r="V25" s="11"/>
      <c r="W25" s="11"/>
      <c r="X25" s="11"/>
      <c r="Y25" s="11">
        <v>0</v>
      </c>
      <c r="Z25" s="11"/>
    </row>
    <row r="26" spans="1:26" x14ac:dyDescent="0.3">
      <c r="A26" s="6" t="s">
        <v>41</v>
      </c>
      <c r="B26" s="12">
        <f>+SUM(B20:B25)</f>
        <v>4.9260507812362846</v>
      </c>
      <c r="C26" s="12">
        <f t="shared" ref="C26:O26" si="20">+SUM(C20:C25)</f>
        <v>77.311949218763715</v>
      </c>
      <c r="D26" s="12">
        <f t="shared" si="20"/>
        <v>-9.3461167056827534</v>
      </c>
      <c r="E26" s="12">
        <f t="shared" si="20"/>
        <v>57.708201356269178</v>
      </c>
      <c r="F26" s="12">
        <f t="shared" si="20"/>
        <v>130.60008465058644</v>
      </c>
      <c r="G26" s="12">
        <f t="shared" si="20"/>
        <v>13.327711006609897</v>
      </c>
      <c r="H26" s="12">
        <f t="shared" si="20"/>
        <v>91.772802981262828</v>
      </c>
      <c r="I26" s="12">
        <f t="shared" si="20"/>
        <v>5.348787655507234</v>
      </c>
      <c r="J26" s="12">
        <f t="shared" si="20"/>
        <v>77.691581266444331</v>
      </c>
      <c r="K26" s="12">
        <f t="shared" si="20"/>
        <v>188.14088290982423</v>
      </c>
      <c r="L26" s="12">
        <f t="shared" si="20"/>
        <v>35.780768999999999</v>
      </c>
      <c r="M26" s="12">
        <f>+SUM(M20:M25)</f>
        <v>124.27349899999999</v>
      </c>
      <c r="N26" s="12">
        <f t="shared" si="20"/>
        <v>34.307158999999984</v>
      </c>
      <c r="O26" s="12">
        <f t="shared" si="20"/>
        <v>97.881055000000032</v>
      </c>
      <c r="P26" s="12">
        <f t="shared" ref="P26:Y26" si="21">+SUM(P20:P25)</f>
        <v>292.242482</v>
      </c>
      <c r="Q26" s="12">
        <f t="shared" si="21"/>
        <v>40.601809999999986</v>
      </c>
      <c r="R26" s="12">
        <f t="shared" si="21"/>
        <v>171.18700000000001</v>
      </c>
      <c r="S26" s="12">
        <f t="shared" si="21"/>
        <v>63.953026000000008</v>
      </c>
      <c r="T26" s="12">
        <f t="shared" si="21"/>
        <v>137.16005150236396</v>
      </c>
      <c r="U26" s="12">
        <f t="shared" si="21"/>
        <v>412.90188750236393</v>
      </c>
      <c r="V26" s="12">
        <f t="shared" si="21"/>
        <v>93.028833999999975</v>
      </c>
      <c r="W26" s="12">
        <f t="shared" si="21"/>
        <v>255.84717399999994</v>
      </c>
      <c r="X26" s="12">
        <f t="shared" si="21"/>
        <v>81.362746000000016</v>
      </c>
      <c r="Y26" s="12">
        <f t="shared" si="21"/>
        <v>224.66054474078999</v>
      </c>
      <c r="Z26" s="12">
        <f t="shared" ref="Z26" si="22">+SUM(Z20:Z25)</f>
        <v>654.89929874078996</v>
      </c>
    </row>
    <row r="28" spans="1:26" s="83" customFormat="1" x14ac:dyDescent="0.3">
      <c r="B28" s="97"/>
      <c r="C28" s="97"/>
      <c r="D28" s="97"/>
      <c r="E28" s="97"/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Z28" s="98"/>
    </row>
    <row r="29" spans="1:26" s="83" customFormat="1" x14ac:dyDescent="0.3">
      <c r="B29" s="97"/>
      <c r="C29" s="97"/>
      <c r="D29" s="97"/>
      <c r="E29" s="97"/>
      <c r="F29" s="97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Z29" s="98"/>
    </row>
    <row r="30" spans="1:26" s="83" customFormat="1" x14ac:dyDescent="0.3">
      <c r="B30" s="97"/>
      <c r="C30" s="97"/>
      <c r="D30" s="97"/>
      <c r="E30" s="97"/>
      <c r="F30" s="97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Z30" s="99"/>
    </row>
    <row r="31" spans="1:26" s="83" customFormat="1" x14ac:dyDescent="0.3">
      <c r="B31" s="97"/>
      <c r="C31" s="97"/>
      <c r="D31" s="97"/>
      <c r="E31" s="97"/>
      <c r="F31" s="97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Z31" s="99"/>
    </row>
    <row r="32" spans="1:26" s="83" customFormat="1" x14ac:dyDescent="0.3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Z32" s="97"/>
    </row>
    <row r="33" spans="2:26" s="83" customFormat="1" x14ac:dyDescent="0.3"/>
    <row r="34" spans="2:26" s="83" customFormat="1" x14ac:dyDescent="0.3"/>
    <row r="35" spans="2:26" s="83" customFormat="1" x14ac:dyDescent="0.3"/>
    <row r="36" spans="2:26" s="83" customFormat="1" x14ac:dyDescent="0.3"/>
    <row r="37" spans="2:26" s="83" customFormat="1" x14ac:dyDescent="0.3"/>
    <row r="38" spans="2:26" s="83" customFormat="1" x14ac:dyDescent="0.3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Z38" s="87"/>
    </row>
    <row r="39" spans="2:26" s="83" customFormat="1" x14ac:dyDescent="0.3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Z39" s="87"/>
    </row>
    <row r="40" spans="2:26" s="83" customFormat="1" x14ac:dyDescent="0.3"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Z40" s="87"/>
    </row>
    <row r="41" spans="2:26" s="83" customFormat="1" x14ac:dyDescent="0.3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Z41" s="87"/>
    </row>
    <row r="42" spans="2:26" s="83" customFormat="1" x14ac:dyDescent="0.3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Z42" s="87"/>
    </row>
    <row r="43" spans="2:26" s="83" customFormat="1" x14ac:dyDescent="0.3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Z43" s="87"/>
    </row>
    <row r="44" spans="2:26" x14ac:dyDescent="0.3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Z44" s="55"/>
    </row>
    <row r="45" spans="2:26" x14ac:dyDescent="0.3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</row>
  </sheetData>
  <phoneticPr fontId="16" type="noConversion"/>
  <pageMargins left="0.7" right="0.7" top="0.75" bottom="0.75" header="0.3" footer="0.3"/>
  <pageSetup paperSize="9" orientation="portrait" r:id="rId1"/>
  <ignoredErrors>
    <ignoredError sqref="K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21875" defaultRowHeight="14.4" x14ac:dyDescent="0.3"/>
  <cols>
    <col min="1" max="1" width="20.21875" bestFit="1" customWidth="1"/>
    <col min="2" max="15" width="6.44140625" bestFit="1" customWidth="1"/>
    <col min="16" max="16" width="7.21875" bestFit="1" customWidth="1"/>
    <col min="17" max="20" width="6.44140625" bestFit="1" customWidth="1"/>
    <col min="21" max="21" width="7.21875" bestFit="1" customWidth="1"/>
    <col min="22" max="23" width="6.44140625" bestFit="1" customWidth="1"/>
    <col min="24" max="25" width="6.44140625" style="18" bestFit="1" customWidth="1"/>
    <col min="26" max="26" width="7.21875" bestFit="1" customWidth="1"/>
    <col min="27" max="65" width="9.21875" style="18" customWidth="1"/>
  </cols>
  <sheetData>
    <row r="1" spans="1:26" x14ac:dyDescent="0.3">
      <c r="A1" s="9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>
        <v>2017</v>
      </c>
      <c r="G1" s="24" t="s">
        <v>5</v>
      </c>
      <c r="H1" s="24" t="s">
        <v>6</v>
      </c>
      <c r="I1" s="24" t="s">
        <v>7</v>
      </c>
      <c r="J1" s="24" t="s">
        <v>8</v>
      </c>
      <c r="K1" s="24">
        <v>2018</v>
      </c>
      <c r="L1" s="24" t="s">
        <v>9</v>
      </c>
      <c r="M1" s="24" t="s">
        <v>10</v>
      </c>
      <c r="N1" s="24" t="s">
        <v>11</v>
      </c>
      <c r="O1" s="24" t="s">
        <v>12</v>
      </c>
      <c r="P1" s="24">
        <v>2019</v>
      </c>
      <c r="Q1" s="24" t="s">
        <v>13</v>
      </c>
      <c r="R1" s="24" t="s">
        <v>14</v>
      </c>
      <c r="S1" s="24" t="s">
        <v>15</v>
      </c>
      <c r="T1" s="24" t="s">
        <v>16</v>
      </c>
      <c r="U1" s="24">
        <v>2020</v>
      </c>
      <c r="V1" s="24" t="s">
        <v>148</v>
      </c>
      <c r="W1" s="24" t="s">
        <v>149</v>
      </c>
      <c r="X1" s="24" t="s">
        <v>150</v>
      </c>
      <c r="Y1" s="24" t="s">
        <v>155</v>
      </c>
      <c r="Z1" s="24">
        <v>2021</v>
      </c>
    </row>
    <row r="2" spans="1:26" x14ac:dyDescent="0.3">
      <c r="A2" s="2" t="s">
        <v>110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x14ac:dyDescent="0.3">
      <c r="A3" s="5" t="s">
        <v>120</v>
      </c>
      <c r="B3" s="39">
        <v>790.0450314376634</v>
      </c>
      <c r="C3" s="39">
        <v>1774.4869685623366</v>
      </c>
      <c r="D3" s="39">
        <v>694.94746031768898</v>
      </c>
      <c r="E3" s="39">
        <v>1596.9775413370839</v>
      </c>
      <c r="F3" s="39">
        <f>+SUM(B3:E3)</f>
        <v>4856.4570016547732</v>
      </c>
      <c r="G3" s="39">
        <v>1142.4309254180769</v>
      </c>
      <c r="H3" s="39">
        <v>2238.0167263555331</v>
      </c>
      <c r="I3" s="39">
        <v>837.37645529329222</v>
      </c>
      <c r="J3" s="39">
        <v>1878.8661343867118</v>
      </c>
      <c r="K3" s="39">
        <f t="shared" ref="K3:K9" si="0">+SUM(G3:J3)</f>
        <v>6096.6902414536144</v>
      </c>
      <c r="L3" s="39">
        <v>1720.9967799999999</v>
      </c>
      <c r="M3" s="39">
        <v>3209.5208079999993</v>
      </c>
      <c r="N3" s="39">
        <v>1344.7658660000004</v>
      </c>
      <c r="O3" s="39">
        <v>2711.2365867793487</v>
      </c>
      <c r="P3" s="39">
        <f t="shared" ref="P3:P9" si="1">+SUM(L3:O3)</f>
        <v>8986.5200407793491</v>
      </c>
      <c r="Q3" s="39">
        <v>2587.8381810000001</v>
      </c>
      <c r="R3" s="39">
        <v>4342.9271870000011</v>
      </c>
      <c r="S3" s="39">
        <v>2094.2604059999994</v>
      </c>
      <c r="T3" s="39">
        <v>3907.6288819999991</v>
      </c>
      <c r="U3" s="39">
        <f>+SUM(Q3:T3)</f>
        <v>12932.654656000001</v>
      </c>
      <c r="V3" s="39">
        <v>3810.4604790000003</v>
      </c>
      <c r="W3" s="39">
        <v>6151.5476350000017</v>
      </c>
      <c r="X3" s="39">
        <v>3193.0532149999981</v>
      </c>
      <c r="Y3" s="39">
        <v>4980.4486470000002</v>
      </c>
      <c r="Z3" s="39">
        <f>+SUM(V3:Y3)</f>
        <v>18135.509976000001</v>
      </c>
    </row>
    <row r="4" spans="1:26" x14ac:dyDescent="0.3">
      <c r="A4" s="5" t="s">
        <v>121</v>
      </c>
      <c r="B4" s="39">
        <v>394.15611491079829</v>
      </c>
      <c r="C4" s="39">
        <v>473.33588508920167</v>
      </c>
      <c r="D4" s="39">
        <v>414.65991401359111</v>
      </c>
      <c r="E4" s="39">
        <v>492.52299230455935</v>
      </c>
      <c r="F4" s="39">
        <f t="shared" ref="F4:F8" si="2">+SUM(B4:E4)</f>
        <v>1774.6749063181505</v>
      </c>
      <c r="G4" s="39">
        <v>525.72783426290141</v>
      </c>
      <c r="H4" s="39">
        <v>619.44358164069013</v>
      </c>
      <c r="I4" s="39">
        <v>592.98859466284773</v>
      </c>
      <c r="J4" s="39">
        <v>683.86922145843255</v>
      </c>
      <c r="K4" s="39">
        <f t="shared" si="0"/>
        <v>2422.0292320248718</v>
      </c>
      <c r="L4" s="39">
        <v>706.58002099999999</v>
      </c>
      <c r="M4" s="39">
        <v>846.88002399999993</v>
      </c>
      <c r="N4" s="39">
        <v>980.75433400000031</v>
      </c>
      <c r="O4" s="39">
        <v>1216.1971485635079</v>
      </c>
      <c r="P4" s="39">
        <f t="shared" si="1"/>
        <v>3750.4115275635077</v>
      </c>
      <c r="Q4" s="39">
        <v>1291.18877</v>
      </c>
      <c r="R4" s="39">
        <v>1413.8146819999999</v>
      </c>
      <c r="S4" s="39">
        <v>1291.9987239999994</v>
      </c>
      <c r="T4" s="39">
        <v>1384.6869290000009</v>
      </c>
      <c r="U4" s="39">
        <f t="shared" ref="U4:U9" si="3">+SUM(Q4:T4)</f>
        <v>5381.6891049999995</v>
      </c>
      <c r="V4" s="39">
        <v>1339.7391710000002</v>
      </c>
      <c r="W4" s="39">
        <v>1460.3729529999998</v>
      </c>
      <c r="X4" s="39">
        <v>1554.0226380000004</v>
      </c>
      <c r="Y4" s="39">
        <v>2171.60392</v>
      </c>
      <c r="Z4" s="39">
        <f t="shared" ref="Z4:Z9" si="4">+SUM(V4:Y4)</f>
        <v>6525.7386820000011</v>
      </c>
    </row>
    <row r="5" spans="1:26" x14ac:dyDescent="0.3">
      <c r="A5" s="5" t="s">
        <v>122</v>
      </c>
      <c r="B5" s="39">
        <v>75.216781932829448</v>
      </c>
      <c r="C5" s="39">
        <v>85.435218067170553</v>
      </c>
      <c r="D5" s="39">
        <v>67.641878614860943</v>
      </c>
      <c r="E5" s="39">
        <v>82.385761881285347</v>
      </c>
      <c r="F5" s="39">
        <f t="shared" si="2"/>
        <v>310.67964049614631</v>
      </c>
      <c r="G5" s="39">
        <v>78.594072314117341</v>
      </c>
      <c r="H5" s="39">
        <v>83.507905008169189</v>
      </c>
      <c r="I5" s="39">
        <v>85.377190146250655</v>
      </c>
      <c r="J5" s="39">
        <v>107.24445912104775</v>
      </c>
      <c r="K5" s="39">
        <f t="shared" si="0"/>
        <v>354.72362658958491</v>
      </c>
      <c r="L5" s="39">
        <v>93.051928000000004</v>
      </c>
      <c r="M5" s="39">
        <v>103.33448400000002</v>
      </c>
      <c r="N5" s="39">
        <v>98.087367999999955</v>
      </c>
      <c r="O5" s="39">
        <v>140.83384066928312</v>
      </c>
      <c r="P5" s="39">
        <f t="shared" si="1"/>
        <v>435.3076206692831</v>
      </c>
      <c r="Q5" s="39">
        <v>115.85647800000001</v>
      </c>
      <c r="R5" s="39">
        <v>123.23677499999997</v>
      </c>
      <c r="S5" s="39">
        <v>131.28584600000008</v>
      </c>
      <c r="T5" s="39">
        <v>156.40625399999996</v>
      </c>
      <c r="U5" s="39">
        <f t="shared" si="3"/>
        <v>526.78535299999999</v>
      </c>
      <c r="V5" s="39">
        <v>136.55865100000003</v>
      </c>
      <c r="W5" s="39">
        <v>156.55133699999999</v>
      </c>
      <c r="X5" s="39">
        <v>150.12444799999997</v>
      </c>
      <c r="Y5" s="39">
        <v>205.74796900000004</v>
      </c>
      <c r="Z5" s="39">
        <f t="shared" si="4"/>
        <v>648.98240500000009</v>
      </c>
    </row>
    <row r="6" spans="1:26" x14ac:dyDescent="0.3">
      <c r="A6" s="5" t="s">
        <v>123</v>
      </c>
      <c r="B6" s="39">
        <v>100.97359041083091</v>
      </c>
      <c r="C6" s="39">
        <v>101.4384095891691</v>
      </c>
      <c r="D6" s="39">
        <v>87.516522553401884</v>
      </c>
      <c r="E6" s="39">
        <v>123.94026008724921</v>
      </c>
      <c r="F6" s="39">
        <f t="shared" si="2"/>
        <v>413.86878264065109</v>
      </c>
      <c r="G6" s="39">
        <v>121.920903839498</v>
      </c>
      <c r="H6" s="39">
        <v>133.70959141617351</v>
      </c>
      <c r="I6" s="39">
        <v>113.77568372372141</v>
      </c>
      <c r="J6" s="39">
        <v>159.04968253174326</v>
      </c>
      <c r="K6" s="39">
        <f t="shared" si="0"/>
        <v>528.45586151113616</v>
      </c>
      <c r="L6" s="39">
        <v>155.85293900000002</v>
      </c>
      <c r="M6" s="39">
        <v>150.31927199999998</v>
      </c>
      <c r="N6" s="39">
        <v>132.29381300000003</v>
      </c>
      <c r="O6" s="39">
        <v>187.89092295999993</v>
      </c>
      <c r="P6" s="39">
        <f t="shared" si="1"/>
        <v>626.35694695999996</v>
      </c>
      <c r="Q6" s="39">
        <v>250.20670399999997</v>
      </c>
      <c r="R6" s="39">
        <v>276.39772600000009</v>
      </c>
      <c r="S6" s="39">
        <v>213.47892299999995</v>
      </c>
      <c r="T6" s="39">
        <v>302.14719899999989</v>
      </c>
      <c r="U6" s="39">
        <f t="shared" si="3"/>
        <v>1042.230552</v>
      </c>
      <c r="V6" s="39">
        <v>302.67289699999998</v>
      </c>
      <c r="W6" s="39">
        <v>392.20724599999994</v>
      </c>
      <c r="X6" s="39">
        <v>349.79338399999983</v>
      </c>
      <c r="Y6" s="39">
        <v>505.09869400000014</v>
      </c>
      <c r="Z6" s="39">
        <f t="shared" si="4"/>
        <v>1549.7722209999997</v>
      </c>
    </row>
    <row r="7" spans="1:26" x14ac:dyDescent="0.3">
      <c r="A7" s="5" t="s">
        <v>124</v>
      </c>
      <c r="B7" s="39">
        <v>21.039458455427869</v>
      </c>
      <c r="C7" s="39">
        <v>20.434541544572131</v>
      </c>
      <c r="D7" s="39">
        <v>21.014863257277479</v>
      </c>
      <c r="E7" s="39">
        <v>36.918307046273711</v>
      </c>
      <c r="F7" s="39">
        <f t="shared" si="2"/>
        <v>99.407170303551197</v>
      </c>
      <c r="G7" s="39">
        <v>21.790647558714216</v>
      </c>
      <c r="H7" s="39">
        <v>27.570484135449401</v>
      </c>
      <c r="I7" s="39">
        <v>30.926111844226224</v>
      </c>
      <c r="J7" s="39">
        <v>30.539493516481613</v>
      </c>
      <c r="K7" s="39">
        <f t="shared" si="0"/>
        <v>110.82673705487146</v>
      </c>
      <c r="L7" s="39">
        <v>13.637379999999999</v>
      </c>
      <c r="M7" s="39">
        <v>12.395193000000004</v>
      </c>
      <c r="N7" s="39">
        <v>13.462912999999993</v>
      </c>
      <c r="O7" s="39">
        <v>14.415698156428917</v>
      </c>
      <c r="P7" s="39">
        <f t="shared" si="1"/>
        <v>53.911184156428916</v>
      </c>
      <c r="Q7" s="39">
        <v>24.025023000000001</v>
      </c>
      <c r="R7" s="39">
        <v>30.668663999999996</v>
      </c>
      <c r="S7" s="39">
        <v>17.629173000000016</v>
      </c>
      <c r="T7" s="39">
        <v>3.3164539999999834</v>
      </c>
      <c r="U7" s="39">
        <f t="shared" si="3"/>
        <v>75.639313999999999</v>
      </c>
      <c r="V7" s="39">
        <v>18.547124000000004</v>
      </c>
      <c r="W7" s="39">
        <v>15.643880999999993</v>
      </c>
      <c r="X7" s="39">
        <v>19.027999999999999</v>
      </c>
      <c r="Y7" s="39">
        <v>22.591764999999992</v>
      </c>
      <c r="Z7" s="39">
        <f t="shared" si="4"/>
        <v>75.810769999999991</v>
      </c>
    </row>
    <row r="8" spans="1:26" x14ac:dyDescent="0.3">
      <c r="A8" s="5" t="s">
        <v>116</v>
      </c>
      <c r="B8" s="39">
        <v>-22.899294443655851</v>
      </c>
      <c r="C8" s="39">
        <v>-53.410705556344155</v>
      </c>
      <c r="D8" s="39">
        <v>-36.050043950022634</v>
      </c>
      <c r="E8" s="39">
        <v>-41.015511421426957</v>
      </c>
      <c r="F8" s="39">
        <f t="shared" si="2"/>
        <v>-153.37555537144959</v>
      </c>
      <c r="G8" s="39">
        <v>-57.754973143021502</v>
      </c>
      <c r="H8" s="39">
        <v>-69.830423872527476</v>
      </c>
      <c r="I8" s="39">
        <v>-67.871493091670615</v>
      </c>
      <c r="J8" s="39">
        <v>-61.420581879681734</v>
      </c>
      <c r="K8" s="39">
        <f t="shared" si="0"/>
        <v>-256.8774719869013</v>
      </c>
      <c r="L8" s="39">
        <v>-50.782471000000001</v>
      </c>
      <c r="M8" s="39">
        <v>-79.795263999999989</v>
      </c>
      <c r="N8" s="39">
        <v>-69.023525000000006</v>
      </c>
      <c r="O8" s="39">
        <v>-34.885758000000003</v>
      </c>
      <c r="P8" s="39">
        <f t="shared" si="1"/>
        <v>-234.48701800000001</v>
      </c>
      <c r="Q8" s="39">
        <v>-65.162197000000006</v>
      </c>
      <c r="R8" s="39">
        <v>-92.000874999999979</v>
      </c>
      <c r="S8" s="39">
        <v>-80.504357000000013</v>
      </c>
      <c r="T8" s="39">
        <v>-121.87662799999997</v>
      </c>
      <c r="U8" s="39">
        <f t="shared" si="3"/>
        <v>-359.54405700000001</v>
      </c>
      <c r="V8" s="39">
        <v>-85.521285000000006</v>
      </c>
      <c r="W8" s="39">
        <v>-105.02746899999998</v>
      </c>
      <c r="X8" s="39">
        <v>-118.791</v>
      </c>
      <c r="Y8" s="39">
        <v>-188.14312199999998</v>
      </c>
      <c r="Z8" s="39">
        <f t="shared" si="4"/>
        <v>-497.48287599999992</v>
      </c>
    </row>
    <row r="9" spans="1:26" x14ac:dyDescent="0.3">
      <c r="A9" s="5" t="s">
        <v>117</v>
      </c>
      <c r="B9" s="39">
        <v>0</v>
      </c>
      <c r="C9" s="39">
        <v>0</v>
      </c>
      <c r="D9" s="39">
        <v>0</v>
      </c>
      <c r="E9" s="39">
        <v>0</v>
      </c>
      <c r="F9" s="39"/>
      <c r="G9" s="39">
        <v>-37.628226366391807</v>
      </c>
      <c r="H9" s="39">
        <v>-65.471240440088152</v>
      </c>
      <c r="I9" s="39">
        <v>-46.640491815062646</v>
      </c>
      <c r="J9" s="39">
        <v>-58.582274263167868</v>
      </c>
      <c r="K9" s="39">
        <f t="shared" si="0"/>
        <v>-208.32223288471047</v>
      </c>
      <c r="L9" s="39">
        <v>0</v>
      </c>
      <c r="M9" s="39">
        <v>0</v>
      </c>
      <c r="N9" s="39">
        <v>0</v>
      </c>
      <c r="O9" s="39">
        <v>0</v>
      </c>
      <c r="P9" s="39">
        <f t="shared" si="1"/>
        <v>0</v>
      </c>
      <c r="Q9" s="39">
        <v>0</v>
      </c>
      <c r="R9" s="39"/>
      <c r="S9" s="39">
        <v>0</v>
      </c>
      <c r="T9" s="39"/>
      <c r="U9" s="39">
        <f t="shared" si="3"/>
        <v>0</v>
      </c>
      <c r="V9" s="39"/>
      <c r="W9" s="39"/>
      <c r="X9" s="39"/>
      <c r="Y9" s="39"/>
      <c r="Z9" s="39">
        <f t="shared" si="4"/>
        <v>0</v>
      </c>
    </row>
    <row r="10" spans="1:26" x14ac:dyDescent="0.3">
      <c r="A10" s="6" t="s">
        <v>118</v>
      </c>
      <c r="B10" s="40">
        <f>+SUM(B3:B9)</f>
        <v>1358.5316827038939</v>
      </c>
      <c r="C10" s="40">
        <f t="shared" ref="C10:L10" si="5">+SUM(C3:C9)</f>
        <v>2401.7203172961063</v>
      </c>
      <c r="D10" s="40">
        <f t="shared" si="5"/>
        <v>1249.7305948067976</v>
      </c>
      <c r="E10" s="40">
        <f t="shared" si="5"/>
        <v>2291.7293512350243</v>
      </c>
      <c r="F10" s="40">
        <f t="shared" si="5"/>
        <v>7301.7119460418226</v>
      </c>
      <c r="G10" s="40">
        <f t="shared" si="5"/>
        <v>1795.0811838838943</v>
      </c>
      <c r="H10" s="40">
        <f t="shared" si="5"/>
        <v>2966.9466242434005</v>
      </c>
      <c r="I10" s="40">
        <f t="shared" si="5"/>
        <v>1545.9320507636048</v>
      </c>
      <c r="J10" s="40">
        <f t="shared" si="5"/>
        <v>2739.5661348715671</v>
      </c>
      <c r="K10" s="40">
        <f t="shared" si="5"/>
        <v>9047.5259937624669</v>
      </c>
      <c r="L10" s="40">
        <f t="shared" si="5"/>
        <v>2639.336577</v>
      </c>
      <c r="M10" s="40">
        <f t="shared" ref="M10:Y10" si="6">+SUM(M3:M9)</f>
        <v>4242.654516999999</v>
      </c>
      <c r="N10" s="40">
        <f t="shared" si="6"/>
        <v>2500.3407690000008</v>
      </c>
      <c r="O10" s="40">
        <f t="shared" si="6"/>
        <v>4235.6884391285685</v>
      </c>
      <c r="P10" s="40">
        <f t="shared" si="6"/>
        <v>13618.020302128569</v>
      </c>
      <c r="Q10" s="40">
        <f t="shared" si="6"/>
        <v>4203.9529590000002</v>
      </c>
      <c r="R10" s="40">
        <f t="shared" si="6"/>
        <v>6095.0441590000019</v>
      </c>
      <c r="S10" s="40">
        <f t="shared" si="6"/>
        <v>3668.1487149999989</v>
      </c>
      <c r="T10" s="40">
        <f t="shared" si="6"/>
        <v>5632.3090899999997</v>
      </c>
      <c r="U10" s="40">
        <f t="shared" si="6"/>
        <v>19599.454923000001</v>
      </c>
      <c r="V10" s="40">
        <f t="shared" si="6"/>
        <v>5522.457037000001</v>
      </c>
      <c r="W10" s="40">
        <f t="shared" si="6"/>
        <v>8071.2955830000019</v>
      </c>
      <c r="X10" s="40">
        <f t="shared" si="6"/>
        <v>5147.2306849999977</v>
      </c>
      <c r="Y10" s="40">
        <f t="shared" si="6"/>
        <v>7697.3478730000006</v>
      </c>
      <c r="Z10" s="40">
        <f t="shared" ref="Z10" si="7">+SUM(Z3:Z9)</f>
        <v>26438.331178000004</v>
      </c>
    </row>
    <row r="11" spans="1:26" x14ac:dyDescent="0.3">
      <c r="A11" s="2" t="s">
        <v>20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x14ac:dyDescent="0.3">
      <c r="A12" s="5" t="s">
        <v>120</v>
      </c>
      <c r="B12" s="39">
        <v>87.507034053556296</v>
      </c>
      <c r="C12" s="39">
        <v>166.39796594644369</v>
      </c>
      <c r="D12" s="39">
        <v>65.149712127293753</v>
      </c>
      <c r="E12" s="39">
        <v>151.3559384598079</v>
      </c>
      <c r="F12" s="39">
        <f t="shared" ref="F12:F17" si="8">+SUM(B12:E12)</f>
        <v>470.4106505871016</v>
      </c>
      <c r="G12" s="39">
        <v>107.54717992042669</v>
      </c>
      <c r="H12" s="39">
        <v>187.87522113664122</v>
      </c>
      <c r="I12" s="39">
        <v>95.487712249095722</v>
      </c>
      <c r="J12" s="39">
        <v>193.5324353743047</v>
      </c>
      <c r="K12" s="39">
        <f t="shared" ref="K12:K17" si="9">+SUM(G12:J12)</f>
        <v>584.44254868046824</v>
      </c>
      <c r="L12" s="39">
        <v>130.27859799999999</v>
      </c>
      <c r="M12" s="39">
        <v>231.43849699999998</v>
      </c>
      <c r="N12" s="39">
        <v>144.62701300000003</v>
      </c>
      <c r="O12" s="39">
        <v>200.83186499999999</v>
      </c>
      <c r="P12" s="39">
        <f t="shared" ref="P12:P17" si="10">+SUM(L12:O12)</f>
        <v>707.175973</v>
      </c>
      <c r="Q12" s="39">
        <v>183.69376</v>
      </c>
      <c r="R12" s="39">
        <v>294.70221800000002</v>
      </c>
      <c r="S12" s="39">
        <v>166.0538139999999</v>
      </c>
      <c r="T12" s="39">
        <v>267.35550200000012</v>
      </c>
      <c r="U12" s="39">
        <f>+SUM(Q12:T12)</f>
        <v>911.805294</v>
      </c>
      <c r="V12" s="39">
        <v>230.30394400000003</v>
      </c>
      <c r="W12" s="39">
        <v>344.959993</v>
      </c>
      <c r="X12" s="39">
        <v>209.09700000000001</v>
      </c>
      <c r="Y12" s="39">
        <v>325.33351337039494</v>
      </c>
      <c r="Z12" s="39">
        <f>+SUM(V12:Y12)</f>
        <v>1109.6944503703949</v>
      </c>
    </row>
    <row r="13" spans="1:26" x14ac:dyDescent="0.3">
      <c r="A13" s="5" t="s">
        <v>121</v>
      </c>
      <c r="B13" s="39">
        <v>32.139223871814387</v>
      </c>
      <c r="C13" s="39">
        <v>35.550776128185611</v>
      </c>
      <c r="D13" s="39">
        <v>30.557775592085616</v>
      </c>
      <c r="E13" s="39">
        <v>35.110819647407943</v>
      </c>
      <c r="F13" s="39">
        <f t="shared" si="8"/>
        <v>133.35859523949355</v>
      </c>
      <c r="G13" s="39">
        <v>35.363279409918526</v>
      </c>
      <c r="H13" s="39">
        <v>39.906259493555346</v>
      </c>
      <c r="I13" s="39">
        <v>44.420399079766781</v>
      </c>
      <c r="J13" s="39">
        <v>47.023451605688415</v>
      </c>
      <c r="K13" s="39">
        <f t="shared" si="9"/>
        <v>166.71338958892906</v>
      </c>
      <c r="L13" s="39">
        <v>49.267226999999998</v>
      </c>
      <c r="M13" s="39">
        <v>54.997785000000015</v>
      </c>
      <c r="N13" s="39">
        <v>56.330851999999986</v>
      </c>
      <c r="O13" s="39">
        <v>59.787527000000004</v>
      </c>
      <c r="P13" s="39">
        <f t="shared" si="10"/>
        <v>220.38339100000002</v>
      </c>
      <c r="Q13" s="39">
        <v>73.597248999999991</v>
      </c>
      <c r="R13" s="39">
        <v>83.604680999999999</v>
      </c>
      <c r="S13" s="39">
        <v>78.627587000000005</v>
      </c>
      <c r="T13" s="39">
        <v>89.381933000000018</v>
      </c>
      <c r="U13" s="39">
        <f t="shared" ref="U13:U17" si="11">+SUM(Q13:T13)</f>
        <v>325.21145000000001</v>
      </c>
      <c r="V13" s="39">
        <v>86.547923000000011</v>
      </c>
      <c r="W13" s="39">
        <v>87.092702999999986</v>
      </c>
      <c r="X13" s="39">
        <v>94.438999999999993</v>
      </c>
      <c r="Y13" s="39">
        <v>177.51825937039499</v>
      </c>
      <c r="Z13" s="39">
        <f t="shared" ref="Z13:Z17" si="12">+SUM(V13:Y13)</f>
        <v>445.59788537039492</v>
      </c>
    </row>
    <row r="14" spans="1:26" x14ac:dyDescent="0.3">
      <c r="A14" s="5" t="s">
        <v>122</v>
      </c>
      <c r="B14" s="39">
        <v>68.411396033908744</v>
      </c>
      <c r="C14" s="39">
        <v>76.257603966091253</v>
      </c>
      <c r="D14" s="39">
        <v>62.570762338887405</v>
      </c>
      <c r="E14" s="39">
        <v>74.973324554558346</v>
      </c>
      <c r="F14" s="39">
        <f t="shared" si="8"/>
        <v>282.21308689344573</v>
      </c>
      <c r="G14" s="39">
        <v>72.7025318873402</v>
      </c>
      <c r="H14" s="39">
        <v>75.901972502742652</v>
      </c>
      <c r="I14" s="39">
        <v>73.023563663751204</v>
      </c>
      <c r="J14" s="39">
        <v>87.828423510662716</v>
      </c>
      <c r="K14" s="39">
        <f t="shared" si="9"/>
        <v>309.45649156449679</v>
      </c>
      <c r="L14" s="39">
        <v>80.940581000000009</v>
      </c>
      <c r="M14" s="39">
        <v>88.400763999999995</v>
      </c>
      <c r="N14" s="39">
        <v>83.236458000000013</v>
      </c>
      <c r="O14" s="39">
        <v>109.99613699999993</v>
      </c>
      <c r="P14" s="39">
        <f t="shared" si="10"/>
        <v>362.57393999999994</v>
      </c>
      <c r="Q14" s="39">
        <v>100.50459900000001</v>
      </c>
      <c r="R14" s="39">
        <v>113.69222599999999</v>
      </c>
      <c r="S14" s="39">
        <v>110.28369300000003</v>
      </c>
      <c r="T14" s="39">
        <v>125.70002699999995</v>
      </c>
      <c r="U14" s="39">
        <f t="shared" si="11"/>
        <v>450.18054499999994</v>
      </c>
      <c r="V14" s="39">
        <v>115.556228</v>
      </c>
      <c r="W14" s="39">
        <v>127.404212</v>
      </c>
      <c r="X14" s="39">
        <v>129.68159800000001</v>
      </c>
      <c r="Y14" s="39">
        <v>156.94978800000001</v>
      </c>
      <c r="Z14" s="39">
        <f t="shared" si="12"/>
        <v>529.59182600000008</v>
      </c>
    </row>
    <row r="15" spans="1:26" x14ac:dyDescent="0.3">
      <c r="A15" s="5" t="s">
        <v>123</v>
      </c>
      <c r="B15" s="39">
        <v>76.349062118956212</v>
      </c>
      <c r="C15" s="39">
        <v>74.859937881043791</v>
      </c>
      <c r="D15" s="39">
        <v>65.418259314341057</v>
      </c>
      <c r="E15" s="39">
        <v>89.490515883887355</v>
      </c>
      <c r="F15" s="39">
        <f t="shared" si="8"/>
        <v>306.1177751982284</v>
      </c>
      <c r="G15" s="39">
        <v>89.801640539329171</v>
      </c>
      <c r="H15" s="39">
        <v>96.428332283137323</v>
      </c>
      <c r="I15" s="39">
        <v>85.151482577368938</v>
      </c>
      <c r="J15" s="39">
        <v>115.54555141438776</v>
      </c>
      <c r="K15" s="39">
        <f t="shared" si="9"/>
        <v>386.9270068142232</v>
      </c>
      <c r="L15" s="39">
        <v>122.634587</v>
      </c>
      <c r="M15" s="39">
        <v>122.09312400000002</v>
      </c>
      <c r="N15" s="39">
        <v>109.85625999999995</v>
      </c>
      <c r="O15" s="39">
        <v>152.37848800000006</v>
      </c>
      <c r="P15" s="39">
        <f t="shared" si="10"/>
        <v>506.96245900000002</v>
      </c>
      <c r="Q15" s="39">
        <v>159.36197199999998</v>
      </c>
      <c r="R15" s="39">
        <v>174.24408599999998</v>
      </c>
      <c r="S15" s="39">
        <v>137.22668999999999</v>
      </c>
      <c r="T15" s="39">
        <v>184.68353900000005</v>
      </c>
      <c r="U15" s="39">
        <f t="shared" si="11"/>
        <v>655.51628699999992</v>
      </c>
      <c r="V15" s="39">
        <v>201.69612599999999</v>
      </c>
      <c r="W15" s="39">
        <v>255.099299</v>
      </c>
      <c r="X15" s="39">
        <v>213.68874499999993</v>
      </c>
      <c r="Y15" s="39">
        <v>293.72780700000004</v>
      </c>
      <c r="Z15" s="39">
        <f t="shared" si="12"/>
        <v>964.21197699999993</v>
      </c>
    </row>
    <row r="16" spans="1:26" x14ac:dyDescent="0.3">
      <c r="A16" s="5" t="s">
        <v>124</v>
      </c>
      <c r="B16" s="39">
        <v>17.297506229061998</v>
      </c>
      <c r="C16" s="39">
        <v>16.394493770938002</v>
      </c>
      <c r="D16" s="39">
        <v>16.493249002569776</v>
      </c>
      <c r="E16" s="39">
        <v>23.736721645372587</v>
      </c>
      <c r="F16" s="39">
        <f t="shared" si="8"/>
        <v>73.921970647942359</v>
      </c>
      <c r="G16" s="39">
        <v>17.604453289290401</v>
      </c>
      <c r="H16" s="39">
        <v>20.144737623761969</v>
      </c>
      <c r="I16" s="39">
        <v>23.265220652703551</v>
      </c>
      <c r="J16" s="39">
        <v>27.22518375863303</v>
      </c>
      <c r="K16" s="39">
        <f t="shared" si="9"/>
        <v>88.239595324388944</v>
      </c>
      <c r="L16" s="39">
        <v>25.277222000000002</v>
      </c>
      <c r="M16" s="39">
        <v>12.407626999999993</v>
      </c>
      <c r="N16" s="39">
        <v>14.354419000000009</v>
      </c>
      <c r="O16" s="39">
        <v>15.991236999999986</v>
      </c>
      <c r="P16" s="39">
        <f t="shared" si="10"/>
        <v>68.030504999999991</v>
      </c>
      <c r="Q16" s="39">
        <v>15.204493000000001</v>
      </c>
      <c r="R16" s="39">
        <v>21.379812000000005</v>
      </c>
      <c r="S16" s="39">
        <v>20.57640799999999</v>
      </c>
      <c r="T16" s="39">
        <v>17.167337000000007</v>
      </c>
      <c r="U16" s="39">
        <f t="shared" si="11"/>
        <v>74.328050000000005</v>
      </c>
      <c r="V16" s="39">
        <v>18.952686</v>
      </c>
      <c r="W16" s="39">
        <v>16.849692000000001</v>
      </c>
      <c r="X16" s="39">
        <v>20.364053000000006</v>
      </c>
      <c r="Y16" s="39">
        <v>22.218049000000001</v>
      </c>
      <c r="Z16" s="39">
        <f t="shared" si="12"/>
        <v>78.384480000000011</v>
      </c>
    </row>
    <row r="17" spans="1:26" x14ac:dyDescent="0.3">
      <c r="A17" s="5" t="s">
        <v>116</v>
      </c>
      <c r="B17" s="39">
        <v>-11.900457880632759</v>
      </c>
      <c r="C17" s="39">
        <v>-12.90554211936724</v>
      </c>
      <c r="D17" s="39">
        <v>-12.437731041224776</v>
      </c>
      <c r="E17" s="39">
        <v>-13.001983136445167</v>
      </c>
      <c r="F17" s="39">
        <f t="shared" si="8"/>
        <v>-50.245714177669946</v>
      </c>
      <c r="G17" s="39">
        <v>-13.283989659785009</v>
      </c>
      <c r="H17" s="39">
        <v>-12.727648291308633</v>
      </c>
      <c r="I17" s="39">
        <v>-11.503582229365723</v>
      </c>
      <c r="J17" s="39">
        <v>-12.155875015307386</v>
      </c>
      <c r="K17" s="39">
        <f t="shared" si="9"/>
        <v>-49.671095195766753</v>
      </c>
      <c r="L17" s="39">
        <v>-13.144727999999999</v>
      </c>
      <c r="M17" s="39">
        <v>-15.605562000000003</v>
      </c>
      <c r="N17" s="39">
        <v>-15.259415000000001</v>
      </c>
      <c r="O17" s="39">
        <v>-12.405659999999996</v>
      </c>
      <c r="P17" s="39">
        <f t="shared" si="10"/>
        <v>-56.415364999999994</v>
      </c>
      <c r="Q17" s="39">
        <v>-17.155806999999999</v>
      </c>
      <c r="R17" s="39">
        <v>-21.783953999999998</v>
      </c>
      <c r="S17" s="39">
        <v>-16.463665000000002</v>
      </c>
      <c r="T17" s="39">
        <v>-16.853386000000008</v>
      </c>
      <c r="U17" s="39">
        <f t="shared" si="11"/>
        <v>-72.256811999999996</v>
      </c>
      <c r="V17" s="39">
        <v>-18.115749999999998</v>
      </c>
      <c r="W17" s="39">
        <v>-19.788588000000004</v>
      </c>
      <c r="X17" s="39">
        <v>-25.499108999999997</v>
      </c>
      <c r="Y17" s="39">
        <v>-24.329919999999998</v>
      </c>
      <c r="Z17" s="39">
        <f t="shared" si="12"/>
        <v>-87.733367000000001</v>
      </c>
    </row>
    <row r="18" spans="1:26" x14ac:dyDescent="0.3">
      <c r="A18" s="6" t="s">
        <v>119</v>
      </c>
      <c r="B18" s="40">
        <f>+SUM(B12:B17)</f>
        <v>269.80376442666488</v>
      </c>
      <c r="C18" s="40">
        <f t="shared" ref="C18:L18" si="13">+SUM(C12:C17)</f>
        <v>356.55523557333515</v>
      </c>
      <c r="D18" s="40">
        <f t="shared" si="13"/>
        <v>227.75202733395287</v>
      </c>
      <c r="E18" s="40">
        <f t="shared" si="13"/>
        <v>361.66533705458892</v>
      </c>
      <c r="F18" s="40">
        <f t="shared" si="13"/>
        <v>1215.7763643885417</v>
      </c>
      <c r="G18" s="40">
        <f t="shared" si="13"/>
        <v>309.73509538652002</v>
      </c>
      <c r="H18" s="40">
        <f t="shared" si="13"/>
        <v>407.52887474852986</v>
      </c>
      <c r="I18" s="40">
        <f t="shared" si="13"/>
        <v>309.84479599332042</v>
      </c>
      <c r="J18" s="40">
        <f t="shared" si="13"/>
        <v>458.99917064836922</v>
      </c>
      <c r="K18" s="40">
        <f t="shared" si="13"/>
        <v>1486.1079367767395</v>
      </c>
      <c r="L18" s="40">
        <f t="shared" si="13"/>
        <v>395.25348700000001</v>
      </c>
      <c r="M18" s="40">
        <f t="shared" ref="M18:Y18" si="14">+SUM(M12:M17)</f>
        <v>493.73223499999995</v>
      </c>
      <c r="N18" s="40">
        <f t="shared" si="14"/>
        <v>393.14558700000003</v>
      </c>
      <c r="O18" s="40">
        <f t="shared" si="14"/>
        <v>526.57959399999993</v>
      </c>
      <c r="P18" s="40">
        <f t="shared" si="14"/>
        <v>1808.7109029999999</v>
      </c>
      <c r="Q18" s="40">
        <f t="shared" si="14"/>
        <v>515.20626600000003</v>
      </c>
      <c r="R18" s="40">
        <f t="shared" si="14"/>
        <v>665.83906899999999</v>
      </c>
      <c r="S18" s="40">
        <f t="shared" si="14"/>
        <v>496.30452699999989</v>
      </c>
      <c r="T18" s="40">
        <f t="shared" si="14"/>
        <v>667.43495200000018</v>
      </c>
      <c r="U18" s="40">
        <f t="shared" si="14"/>
        <v>2344.7848140000001</v>
      </c>
      <c r="V18" s="40">
        <f t="shared" si="14"/>
        <v>634.94115699999998</v>
      </c>
      <c r="W18" s="40">
        <f t="shared" si="14"/>
        <v>811.61731099999997</v>
      </c>
      <c r="X18" s="40">
        <f t="shared" si="14"/>
        <v>641.77128699999992</v>
      </c>
      <c r="Y18" s="40">
        <f t="shared" si="14"/>
        <v>951.41749674078983</v>
      </c>
      <c r="Z18" s="40">
        <f t="shared" ref="Z18" si="15">+SUM(Z12:Z17)</f>
        <v>3039.74725174079</v>
      </c>
    </row>
    <row r="19" spans="1:26" x14ac:dyDescent="0.3">
      <c r="A19" s="2" t="s">
        <v>41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>
        <v>0</v>
      </c>
      <c r="T19" s="41"/>
      <c r="U19" s="41"/>
      <c r="V19" s="41"/>
      <c r="W19" s="41"/>
      <c r="X19" s="41"/>
      <c r="Y19" s="41"/>
      <c r="Z19" s="41"/>
    </row>
    <row r="20" spans="1:26" x14ac:dyDescent="0.3">
      <c r="A20" s="5" t="s">
        <v>120</v>
      </c>
      <c r="B20" s="39">
        <v>19.878412245976008</v>
      </c>
      <c r="C20" s="39">
        <v>93.472587754023991</v>
      </c>
      <c r="D20" s="39">
        <v>4.9507181417577373</v>
      </c>
      <c r="E20" s="39">
        <v>70.727801694801315</v>
      </c>
      <c r="F20" s="39">
        <f t="shared" ref="F20:F25" si="16">+SUM(B20:E20)</f>
        <v>189.02951983655905</v>
      </c>
      <c r="G20" s="39">
        <v>30.816957025412105</v>
      </c>
      <c r="H20" s="39">
        <v>106.96769525428574</v>
      </c>
      <c r="I20" s="39">
        <v>15.219935706993565</v>
      </c>
      <c r="J20" s="39">
        <v>93.87014330927137</v>
      </c>
      <c r="K20" s="39">
        <f t="shared" ref="K20:K25" si="17">+SUM(G20:J20)</f>
        <v>246.87473129596276</v>
      </c>
      <c r="L20" s="39">
        <v>47.974406000000002</v>
      </c>
      <c r="M20" s="39">
        <v>138.63530900000001</v>
      </c>
      <c r="N20" s="39">
        <v>55.429813999999993</v>
      </c>
      <c r="O20" s="39">
        <v>102.41168099999999</v>
      </c>
      <c r="P20" s="39">
        <f t="shared" ref="P20:P25" si="18">+SUM(L20:O20)</f>
        <v>344.45120999999995</v>
      </c>
      <c r="Q20" s="39">
        <v>60.794209000000002</v>
      </c>
      <c r="R20" s="39">
        <v>166.40295399999999</v>
      </c>
      <c r="S20" s="39">
        <v>53.888201000000038</v>
      </c>
      <c r="T20" s="39">
        <v>125.70988044068608</v>
      </c>
      <c r="U20" s="39">
        <f t="shared" ref="U20:U25" si="19">+SUM(Q20:T20)</f>
        <v>406.79524444068613</v>
      </c>
      <c r="V20" s="39">
        <v>95.001897</v>
      </c>
      <c r="W20" s="39">
        <v>207.68834100000001</v>
      </c>
      <c r="X20" s="39">
        <v>65.171000000000006</v>
      </c>
      <c r="Y20" s="39">
        <v>182.68698237039499</v>
      </c>
      <c r="Z20" s="39">
        <f t="shared" ref="Z20:Z25" si="20">+SUM(V20:Y20)</f>
        <v>550.54822037039503</v>
      </c>
    </row>
    <row r="21" spans="1:26" x14ac:dyDescent="0.3">
      <c r="A21" s="5" t="s">
        <v>121</v>
      </c>
      <c r="B21" s="39">
        <v>13.544571621849249</v>
      </c>
      <c r="C21" s="39">
        <v>15.619428378150751</v>
      </c>
      <c r="D21" s="39">
        <v>11.368870449733963</v>
      </c>
      <c r="E21" s="39">
        <v>9.521956899073885</v>
      </c>
      <c r="F21" s="39">
        <f t="shared" si="16"/>
        <v>50.054827348807848</v>
      </c>
      <c r="G21" s="39">
        <v>11.451436654953341</v>
      </c>
      <c r="H21" s="39">
        <v>16.30836487241973</v>
      </c>
      <c r="I21" s="39">
        <v>19.199574901268782</v>
      </c>
      <c r="J21" s="39">
        <v>19.423656251406609</v>
      </c>
      <c r="K21" s="39">
        <f t="shared" si="17"/>
        <v>66.383032680048458</v>
      </c>
      <c r="L21" s="39">
        <v>20.698149999999998</v>
      </c>
      <c r="M21" s="39">
        <v>21.116046000000004</v>
      </c>
      <c r="N21" s="39">
        <v>19.442730000000005</v>
      </c>
      <c r="O21" s="39">
        <v>18.725297999999995</v>
      </c>
      <c r="P21" s="39">
        <f t="shared" si="18"/>
        <v>79.982224000000002</v>
      </c>
      <c r="Q21" s="39">
        <v>28.178069999999998</v>
      </c>
      <c r="R21" s="39">
        <v>31.804649000000001</v>
      </c>
      <c r="S21" s="39">
        <v>34.940217999999987</v>
      </c>
      <c r="T21" s="39">
        <v>41.818504988221768</v>
      </c>
      <c r="U21" s="39">
        <f t="shared" si="19"/>
        <v>136.74144198822177</v>
      </c>
      <c r="V21" s="39">
        <v>49.455853000000005</v>
      </c>
      <c r="W21" s="39">
        <v>52.616301999999997</v>
      </c>
      <c r="X21" s="39">
        <v>52.683999999999997</v>
      </c>
      <c r="Y21" s="39">
        <v>94.892805370394981</v>
      </c>
      <c r="Z21" s="39">
        <f t="shared" si="20"/>
        <v>249.648960370395</v>
      </c>
    </row>
    <row r="22" spans="1:26" x14ac:dyDescent="0.3">
      <c r="A22" s="5" t="s">
        <v>122</v>
      </c>
      <c r="B22" s="39">
        <v>8.4837430391184672</v>
      </c>
      <c r="C22" s="39">
        <v>12.653256960881532</v>
      </c>
      <c r="D22" s="39">
        <v>-0.42355405807585705</v>
      </c>
      <c r="E22" s="39">
        <v>7.1487581371011908</v>
      </c>
      <c r="F22" s="39">
        <f t="shared" si="16"/>
        <v>27.862204079025332</v>
      </c>
      <c r="G22" s="39">
        <v>7.0623446334782001</v>
      </c>
      <c r="H22" s="39">
        <v>6.3675618686306859</v>
      </c>
      <c r="I22" s="39">
        <v>-1.5676775785171466</v>
      </c>
      <c r="J22" s="39">
        <v>8.5280487324058427</v>
      </c>
      <c r="K22" s="39">
        <f t="shared" si="17"/>
        <v>20.390277655997579</v>
      </c>
      <c r="L22" s="39">
        <v>1.7275409999999995</v>
      </c>
      <c r="M22" s="39">
        <v>3.8841519999999994</v>
      </c>
      <c r="N22" s="39">
        <v>0.440078999999999</v>
      </c>
      <c r="O22" s="39">
        <v>14.078022000000006</v>
      </c>
      <c r="P22" s="39">
        <f t="shared" si="18"/>
        <v>20.129794000000004</v>
      </c>
      <c r="Q22" s="39">
        <v>-1.2079999999999991</v>
      </c>
      <c r="R22" s="39">
        <v>7.3691379999999977</v>
      </c>
      <c r="S22" s="39">
        <v>13.30941</v>
      </c>
      <c r="T22" s="39">
        <v>22.585851389668196</v>
      </c>
      <c r="U22" s="39">
        <f t="shared" si="19"/>
        <v>42.056399389668194</v>
      </c>
      <c r="V22" s="39">
        <v>11.050306000000001</v>
      </c>
      <c r="W22" s="39">
        <v>19.851359999999996</v>
      </c>
      <c r="X22" s="39">
        <v>18.816279999999999</v>
      </c>
      <c r="Y22" s="39">
        <v>34.610984000000009</v>
      </c>
      <c r="Z22" s="39">
        <f t="shared" si="20"/>
        <v>84.328930000000014</v>
      </c>
    </row>
    <row r="23" spans="1:26" x14ac:dyDescent="0.3">
      <c r="A23" s="5" t="s">
        <v>123</v>
      </c>
      <c r="B23" s="39">
        <v>5.9472427978275357</v>
      </c>
      <c r="C23" s="39">
        <v>1.2157572021724645</v>
      </c>
      <c r="D23" s="39">
        <v>7.3804911284995818</v>
      </c>
      <c r="E23" s="39">
        <v>11.216966672167874</v>
      </c>
      <c r="F23" s="39">
        <f t="shared" si="16"/>
        <v>25.760457800667456</v>
      </c>
      <c r="G23" s="39">
        <v>9.4719301459463647</v>
      </c>
      <c r="H23" s="39">
        <v>13.571857461941926</v>
      </c>
      <c r="I23" s="39">
        <v>10.658829196593659</v>
      </c>
      <c r="J23" s="39">
        <v>17.949407979946233</v>
      </c>
      <c r="K23" s="39">
        <f t="shared" si="17"/>
        <v>51.652024784428178</v>
      </c>
      <c r="L23" s="39">
        <v>22.581425000000003</v>
      </c>
      <c r="M23" s="39">
        <v>19.867006000000003</v>
      </c>
      <c r="N23" s="39">
        <v>19.324439999999981</v>
      </c>
      <c r="O23" s="39">
        <v>30.971357000000019</v>
      </c>
      <c r="P23" s="39">
        <f t="shared" si="18"/>
        <v>92.744228000000007</v>
      </c>
      <c r="Q23" s="39">
        <v>22.374171999999998</v>
      </c>
      <c r="R23" s="39">
        <v>31.925538000000003</v>
      </c>
      <c r="S23" s="39">
        <v>19.03653199999998</v>
      </c>
      <c r="T23" s="39">
        <v>26.090860125603765</v>
      </c>
      <c r="U23" s="39">
        <f t="shared" si="19"/>
        <v>99.427102125603753</v>
      </c>
      <c r="V23" s="39">
        <v>27.825946000000002</v>
      </c>
      <c r="W23" s="39">
        <v>56.079646999999987</v>
      </c>
      <c r="X23" s="39">
        <v>31.461006000000008</v>
      </c>
      <c r="Y23" s="39">
        <v>53.707991999999983</v>
      </c>
      <c r="Z23" s="39">
        <f t="shared" si="20"/>
        <v>169.07459099999997</v>
      </c>
    </row>
    <row r="24" spans="1:26" x14ac:dyDescent="0.3">
      <c r="A24" s="5" t="s">
        <v>124</v>
      </c>
      <c r="B24" s="39">
        <v>-42.927918923535302</v>
      </c>
      <c r="C24" s="39">
        <v>-45.649081076464697</v>
      </c>
      <c r="D24" s="39">
        <v>-32.622642367598161</v>
      </c>
      <c r="E24" s="39">
        <v>-40.907282046875046</v>
      </c>
      <c r="F24" s="39">
        <f t="shared" si="16"/>
        <v>-162.10692441447321</v>
      </c>
      <c r="G24" s="39">
        <v>-45.474957453180131</v>
      </c>
      <c r="H24" s="39">
        <v>-51.442676476015272</v>
      </c>
      <c r="I24" s="39">
        <v>-38.161874570831657</v>
      </c>
      <c r="J24" s="39">
        <v>-62.07967500658566</v>
      </c>
      <c r="K24" s="39">
        <f t="shared" si="17"/>
        <v>-197.15918350661272</v>
      </c>
      <c r="L24" s="39">
        <v>-57.200752999999992</v>
      </c>
      <c r="M24" s="39">
        <v>-59.229014000000006</v>
      </c>
      <c r="N24" s="39">
        <v>-60.329903999999999</v>
      </c>
      <c r="O24" s="39">
        <v>-68.305302999999981</v>
      </c>
      <c r="P24" s="39">
        <f t="shared" si="18"/>
        <v>-245.06497399999998</v>
      </c>
      <c r="Q24" s="39">
        <v>-69.536641000000003</v>
      </c>
      <c r="R24" s="39">
        <v>-66.315279000000004</v>
      </c>
      <c r="S24" s="39">
        <v>-57.221335000000067</v>
      </c>
      <c r="T24" s="39">
        <v>-79.045045441815859</v>
      </c>
      <c r="U24" s="39">
        <f t="shared" si="19"/>
        <v>-272.1183004418159</v>
      </c>
      <c r="V24" s="39">
        <v>-90.305168000000009</v>
      </c>
      <c r="W24" s="39">
        <v>-80.388476000000026</v>
      </c>
      <c r="X24" s="39">
        <v>-86.770538999999985</v>
      </c>
      <c r="Y24" s="39">
        <v>-141.23821900000004</v>
      </c>
      <c r="Z24" s="39">
        <f t="shared" si="20"/>
        <v>-398.70240200000012</v>
      </c>
    </row>
    <row r="25" spans="1:26" x14ac:dyDescent="0.3">
      <c r="A25" s="5" t="s">
        <v>116</v>
      </c>
      <c r="B25" s="39">
        <v>0</v>
      </c>
      <c r="C25" s="39">
        <v>0</v>
      </c>
      <c r="D25" s="39">
        <v>0</v>
      </c>
      <c r="E25" s="39">
        <v>0</v>
      </c>
      <c r="F25" s="39">
        <f t="shared" si="16"/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17"/>
        <v>0</v>
      </c>
      <c r="L25" s="39">
        <v>0</v>
      </c>
      <c r="M25" s="39">
        <v>0</v>
      </c>
      <c r="N25" s="39">
        <v>0</v>
      </c>
      <c r="O25" s="39">
        <v>0</v>
      </c>
      <c r="P25" s="39">
        <f t="shared" si="18"/>
        <v>0</v>
      </c>
      <c r="Q25" s="39">
        <v>0</v>
      </c>
      <c r="R25" s="39"/>
      <c r="S25" s="39">
        <v>0</v>
      </c>
      <c r="T25" s="39"/>
      <c r="U25" s="39">
        <f t="shared" si="19"/>
        <v>0</v>
      </c>
      <c r="V25" s="39"/>
      <c r="W25" s="39"/>
      <c r="X25" s="39"/>
      <c r="Y25" s="39">
        <v>0</v>
      </c>
      <c r="Z25" s="39">
        <f t="shared" si="20"/>
        <v>0</v>
      </c>
    </row>
    <row r="26" spans="1:26" x14ac:dyDescent="0.3">
      <c r="A26" s="35" t="s">
        <v>41</v>
      </c>
      <c r="B26" s="40">
        <f>+SUM(B20:B25)</f>
        <v>4.9260507812359577</v>
      </c>
      <c r="C26" s="40">
        <f t="shared" ref="C26:L26" si="21">+SUM(C20:C25)</f>
        <v>77.311949218764042</v>
      </c>
      <c r="D26" s="40">
        <f t="shared" si="21"/>
        <v>-9.3461167056827321</v>
      </c>
      <c r="E26" s="40">
        <f t="shared" si="21"/>
        <v>57.708201356269221</v>
      </c>
      <c r="F26" s="40">
        <f t="shared" si="21"/>
        <v>130.60008465058644</v>
      </c>
      <c r="G26" s="40">
        <f t="shared" si="21"/>
        <v>13.327711006609881</v>
      </c>
      <c r="H26" s="40">
        <f t="shared" si="21"/>
        <v>91.772802981262828</v>
      </c>
      <c r="I26" s="40">
        <f t="shared" si="21"/>
        <v>5.348787655507202</v>
      </c>
      <c r="J26" s="40">
        <f t="shared" si="21"/>
        <v>77.691581266444416</v>
      </c>
      <c r="K26" s="40">
        <f t="shared" si="21"/>
        <v>188.14088290982428</v>
      </c>
      <c r="L26" s="40">
        <f t="shared" si="21"/>
        <v>35.780769000000021</v>
      </c>
      <c r="M26" s="40">
        <f t="shared" ref="M26:P26" si="22">+SUM(M20:M25)</f>
        <v>124.27349900000002</v>
      </c>
      <c r="N26" s="40">
        <f t="shared" si="22"/>
        <v>34.307158999999984</v>
      </c>
      <c r="O26" s="40">
        <f t="shared" si="22"/>
        <v>97.881055000000032</v>
      </c>
      <c r="P26" s="40">
        <f t="shared" si="22"/>
        <v>292.24248199999988</v>
      </c>
      <c r="Q26" s="40">
        <f>+SUM(Q20:Q25)</f>
        <v>40.60181</v>
      </c>
      <c r="R26" s="40">
        <f>+SUM(R20:R25)</f>
        <v>171.18699999999998</v>
      </c>
      <c r="S26" s="40">
        <f>+SUM(S20:S25)</f>
        <v>63.953025999999937</v>
      </c>
      <c r="T26" s="40">
        <f t="shared" ref="T26:Y26" si="23">+SUM(T20:T25)</f>
        <v>137.16005150236396</v>
      </c>
      <c r="U26" s="40">
        <f t="shared" si="23"/>
        <v>412.90188750236382</v>
      </c>
      <c r="V26" s="40">
        <f t="shared" si="23"/>
        <v>93.028833999999989</v>
      </c>
      <c r="W26" s="40">
        <f t="shared" si="23"/>
        <v>255.84717399999994</v>
      </c>
      <c r="X26" s="40">
        <f t="shared" si="23"/>
        <v>81.361747000000008</v>
      </c>
      <c r="Y26" s="40">
        <f t="shared" si="23"/>
        <v>224.66054474078996</v>
      </c>
      <c r="Z26" s="40">
        <f t="shared" ref="Z26" si="24">+SUM(Z20:Z25)</f>
        <v>654.89829974078998</v>
      </c>
    </row>
    <row r="27" spans="1:26" s="18" customFormat="1" x14ac:dyDescent="0.3"/>
    <row r="28" spans="1:26" s="18" customFormat="1" x14ac:dyDescent="0.3"/>
    <row r="29" spans="1:26" s="18" customFormat="1" x14ac:dyDescent="0.3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Z29" s="53"/>
    </row>
    <row r="30" spans="1:26" s="18" customFormat="1" x14ac:dyDescent="0.3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Z30" s="53"/>
    </row>
    <row r="31" spans="1:26" s="18" customFormat="1" x14ac:dyDescent="0.3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Z31" s="20"/>
    </row>
    <row r="32" spans="1:26" s="18" customFormat="1" x14ac:dyDescent="0.3"/>
    <row r="33" spans="2:26" s="18" customForma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Z33" s="20"/>
    </row>
    <row r="34" spans="2:26" s="18" customFormat="1" x14ac:dyDescent="0.3"/>
    <row r="35" spans="2:26" s="18" customFormat="1" x14ac:dyDescent="0.3">
      <c r="G35" s="20"/>
    </row>
    <row r="36" spans="2:26" s="18" customFormat="1" x14ac:dyDescent="0.3"/>
    <row r="37" spans="2:26" s="18" customFormat="1" x14ac:dyDescent="0.3"/>
    <row r="38" spans="2:26" s="18" customFormat="1" x14ac:dyDescent="0.3"/>
    <row r="39" spans="2:26" s="18" customFormat="1" x14ac:dyDescent="0.3"/>
    <row r="40" spans="2:26" s="18" customFormat="1" x14ac:dyDescent="0.3"/>
    <row r="41" spans="2:26" s="18" customFormat="1" x14ac:dyDescent="0.3"/>
    <row r="42" spans="2:26" s="18" customFormat="1" x14ac:dyDescent="0.3"/>
    <row r="43" spans="2:26" s="18" customFormat="1" x14ac:dyDescent="0.3"/>
    <row r="44" spans="2:26" s="18" customFormat="1" x14ac:dyDescent="0.3"/>
    <row r="45" spans="2:26" s="18" customFormat="1" x14ac:dyDescent="0.3"/>
    <row r="46" spans="2:26" s="18" customFormat="1" x14ac:dyDescent="0.3"/>
    <row r="47" spans="2:26" s="18" customFormat="1" x14ac:dyDescent="0.3"/>
    <row r="48" spans="2:26" s="18" customFormat="1" x14ac:dyDescent="0.3"/>
    <row r="49" s="18" customFormat="1" x14ac:dyDescent="0.3"/>
    <row r="50" s="18" customFormat="1" x14ac:dyDescent="0.3"/>
    <row r="51" s="18" customFormat="1" x14ac:dyDescent="0.3"/>
    <row r="52" s="18" customFormat="1" x14ac:dyDescent="0.3"/>
    <row r="53" s="18" customFormat="1" x14ac:dyDescent="0.3"/>
    <row r="54" s="18" customFormat="1" x14ac:dyDescent="0.3"/>
    <row r="55" s="18" customFormat="1" x14ac:dyDescent="0.3"/>
    <row r="56" s="18" customFormat="1" x14ac:dyDescent="0.3"/>
    <row r="57" s="18" customFormat="1" x14ac:dyDescent="0.3"/>
    <row r="58" s="18" customFormat="1" x14ac:dyDescent="0.3"/>
    <row r="59" s="18" customFormat="1" x14ac:dyDescent="0.3"/>
    <row r="60" s="18" customFormat="1" x14ac:dyDescent="0.3"/>
    <row r="61" s="18" customFormat="1" x14ac:dyDescent="0.3"/>
    <row r="62" s="18" customFormat="1" x14ac:dyDescent="0.3"/>
    <row r="63" s="18" customFormat="1" x14ac:dyDescent="0.3"/>
    <row r="64" s="18" customFormat="1" x14ac:dyDescent="0.3"/>
    <row r="65" s="18" customFormat="1" x14ac:dyDescent="0.3"/>
    <row r="66" s="18" customFormat="1" x14ac:dyDescent="0.3"/>
    <row r="67" s="18" customFormat="1" x14ac:dyDescent="0.3"/>
    <row r="68" s="18" customFormat="1" x14ac:dyDescent="0.3"/>
    <row r="69" s="18" customFormat="1" x14ac:dyDescent="0.3"/>
    <row r="70" s="18" customFormat="1" x14ac:dyDescent="0.3"/>
    <row r="71" s="18" customFormat="1" x14ac:dyDescent="0.3"/>
    <row r="72" s="18" customFormat="1" x14ac:dyDescent="0.3"/>
    <row r="73" s="18" customFormat="1" x14ac:dyDescent="0.3"/>
    <row r="74" s="18" customFormat="1" x14ac:dyDescent="0.3"/>
    <row r="75" s="18" customFormat="1" x14ac:dyDescent="0.3"/>
    <row r="76" s="18" customFormat="1" x14ac:dyDescent="0.3"/>
    <row r="77" s="18" customFormat="1" x14ac:dyDescent="0.3"/>
    <row r="78" s="18" customFormat="1" x14ac:dyDescent="0.3"/>
    <row r="79" s="18" customFormat="1" x14ac:dyDescent="0.3"/>
    <row r="80" s="18" customFormat="1" x14ac:dyDescent="0.3"/>
    <row r="81" s="18" customFormat="1" x14ac:dyDescent="0.3"/>
    <row r="82" s="18" customFormat="1" x14ac:dyDescent="0.3"/>
    <row r="83" s="18" customFormat="1" x14ac:dyDescent="0.3"/>
    <row r="84" s="18" customFormat="1" x14ac:dyDescent="0.3"/>
    <row r="85" s="18" customFormat="1" x14ac:dyDescent="0.3"/>
    <row r="86" s="18" customFormat="1" x14ac:dyDescent="0.3"/>
    <row r="87" s="18" customFormat="1" x14ac:dyDescent="0.3"/>
    <row r="88" s="18" customFormat="1" x14ac:dyDescent="0.3"/>
    <row r="89" s="18" customFormat="1" x14ac:dyDescent="0.3"/>
    <row r="90" s="18" customFormat="1" x14ac:dyDescent="0.3"/>
    <row r="91" s="18" customFormat="1" x14ac:dyDescent="0.3"/>
    <row r="92" s="18" customFormat="1" x14ac:dyDescent="0.3"/>
    <row r="93" s="18" customFormat="1" x14ac:dyDescent="0.3"/>
    <row r="94" s="18" customFormat="1" x14ac:dyDescent="0.3"/>
    <row r="95" s="18" customFormat="1" x14ac:dyDescent="0.3"/>
    <row r="96" s="18" customFormat="1" x14ac:dyDescent="0.3"/>
    <row r="97" s="18" customFormat="1" x14ac:dyDescent="0.3"/>
    <row r="98" s="18" customFormat="1" x14ac:dyDescent="0.3"/>
    <row r="99" s="18" customFormat="1" x14ac:dyDescent="0.3"/>
    <row r="100" s="18" customFormat="1" x14ac:dyDescent="0.3"/>
    <row r="101" s="18" customFormat="1" x14ac:dyDescent="0.3"/>
    <row r="102" s="18" customFormat="1" x14ac:dyDescent="0.3"/>
    <row r="103" s="18" customFormat="1" x14ac:dyDescent="0.3"/>
    <row r="104" s="18" customFormat="1" x14ac:dyDescent="0.3"/>
    <row r="105" s="18" customFormat="1" x14ac:dyDescent="0.3"/>
    <row r="106" s="18" customFormat="1" x14ac:dyDescent="0.3"/>
    <row r="107" s="18" customFormat="1" x14ac:dyDescent="0.3"/>
    <row r="108" s="18" customFormat="1" x14ac:dyDescent="0.3"/>
    <row r="109" s="18" customFormat="1" x14ac:dyDescent="0.3"/>
    <row r="110" s="18" customFormat="1" x14ac:dyDescent="0.3"/>
    <row r="111" s="18" customFormat="1" x14ac:dyDescent="0.3"/>
    <row r="112" s="18" customFormat="1" x14ac:dyDescent="0.3"/>
    <row r="113" s="18" customFormat="1" x14ac:dyDescent="0.3"/>
    <row r="114" s="18" customFormat="1" x14ac:dyDescent="0.3"/>
    <row r="115" s="18" customFormat="1" x14ac:dyDescent="0.3"/>
    <row r="116" s="18" customFormat="1" x14ac:dyDescent="0.3"/>
    <row r="117" s="18" customFormat="1" x14ac:dyDescent="0.3"/>
    <row r="118" s="18" customFormat="1" x14ac:dyDescent="0.3"/>
    <row r="119" s="18" customFormat="1" x14ac:dyDescent="0.3"/>
    <row r="120" s="18" customFormat="1" x14ac:dyDescent="0.3"/>
    <row r="121" s="18" customFormat="1" x14ac:dyDescent="0.3"/>
    <row r="122" s="18" customFormat="1" x14ac:dyDescent="0.3"/>
    <row r="123" s="18" customFormat="1" x14ac:dyDescent="0.3"/>
    <row r="124" s="18" customFormat="1" x14ac:dyDescent="0.3"/>
    <row r="125" s="18" customFormat="1" x14ac:dyDescent="0.3"/>
    <row r="126" s="18" customFormat="1" x14ac:dyDescent="0.3"/>
    <row r="127" s="18" customFormat="1" x14ac:dyDescent="0.3"/>
    <row r="128" s="18" customFormat="1" x14ac:dyDescent="0.3"/>
    <row r="129" s="18" customFormat="1" x14ac:dyDescent="0.3"/>
    <row r="130" s="18" customFormat="1" x14ac:dyDescent="0.3"/>
    <row r="131" s="18" customFormat="1" x14ac:dyDescent="0.3"/>
    <row r="132" s="18" customFormat="1" x14ac:dyDescent="0.3"/>
    <row r="133" s="18" customFormat="1" x14ac:dyDescent="0.3"/>
    <row r="134" s="18" customFormat="1" x14ac:dyDescent="0.3"/>
    <row r="135" s="18" customFormat="1" x14ac:dyDescent="0.3"/>
    <row r="136" s="18" customFormat="1" x14ac:dyDescent="0.3"/>
    <row r="137" s="18" customFormat="1" x14ac:dyDescent="0.3"/>
    <row r="138" s="18" customFormat="1" x14ac:dyDescent="0.3"/>
    <row r="139" s="18" customFormat="1" x14ac:dyDescent="0.3"/>
    <row r="140" s="18" customFormat="1" x14ac:dyDescent="0.3"/>
    <row r="141" s="18" customFormat="1" x14ac:dyDescent="0.3"/>
    <row r="142" s="18" customFormat="1" x14ac:dyDescent="0.3"/>
    <row r="143" s="18" customFormat="1" x14ac:dyDescent="0.3"/>
    <row r="144" s="18" customFormat="1" x14ac:dyDescent="0.3"/>
    <row r="145" s="18" customFormat="1" x14ac:dyDescent="0.3"/>
    <row r="146" s="18" customFormat="1" x14ac:dyDescent="0.3"/>
    <row r="147" s="18" customFormat="1" x14ac:dyDescent="0.3"/>
    <row r="148" s="18" customFormat="1" x14ac:dyDescent="0.3"/>
    <row r="149" s="18" customFormat="1" x14ac:dyDescent="0.3"/>
    <row r="150" s="18" customFormat="1" x14ac:dyDescent="0.3"/>
    <row r="151" s="18" customFormat="1" x14ac:dyDescent="0.3"/>
    <row r="152" s="18" customFormat="1" x14ac:dyDescent="0.3"/>
    <row r="153" s="18" customFormat="1" x14ac:dyDescent="0.3"/>
    <row r="154" s="18" customFormat="1" x14ac:dyDescent="0.3"/>
    <row r="155" s="18" customFormat="1" x14ac:dyDescent="0.3"/>
    <row r="156" s="18" customFormat="1" x14ac:dyDescent="0.3"/>
    <row r="157" s="18" customFormat="1" x14ac:dyDescent="0.3"/>
    <row r="158" s="18" customFormat="1" x14ac:dyDescent="0.3"/>
    <row r="159" s="18" customFormat="1" x14ac:dyDescent="0.3"/>
    <row r="160" s="18" customFormat="1" x14ac:dyDescent="0.3"/>
    <row r="161" s="18" customFormat="1" x14ac:dyDescent="0.3"/>
    <row r="162" s="18" customFormat="1" x14ac:dyDescent="0.3"/>
    <row r="163" s="18" customFormat="1" x14ac:dyDescent="0.3"/>
    <row r="164" s="18" customFormat="1" x14ac:dyDescent="0.3"/>
    <row r="165" s="18" customFormat="1" x14ac:dyDescent="0.3"/>
    <row r="166" s="18" customFormat="1" x14ac:dyDescent="0.3"/>
    <row r="167" s="18" customFormat="1" x14ac:dyDescent="0.3"/>
    <row r="168" s="18" customFormat="1" x14ac:dyDescent="0.3"/>
    <row r="169" s="18" customFormat="1" x14ac:dyDescent="0.3"/>
    <row r="170" s="18" customFormat="1" x14ac:dyDescent="0.3"/>
    <row r="171" s="18" customFormat="1" x14ac:dyDescent="0.3"/>
    <row r="172" s="18" customFormat="1" x14ac:dyDescent="0.3"/>
    <row r="173" s="18" customFormat="1" x14ac:dyDescent="0.3"/>
    <row r="174" s="18" customFormat="1" x14ac:dyDescent="0.3"/>
    <row r="175" s="18" customFormat="1" x14ac:dyDescent="0.3"/>
    <row r="176" s="18" customFormat="1" x14ac:dyDescent="0.3"/>
    <row r="177" s="18" customFormat="1" x14ac:dyDescent="0.3"/>
  </sheetData>
  <phoneticPr fontId="16" type="noConversion"/>
  <pageMargins left="0.7" right="0.7" top="0.75" bottom="0.75" header="0.3" footer="0.3"/>
  <pageSetup paperSize="9" orientation="portrait" r:id="rId1"/>
  <ignoredErrors>
    <ignoredError sqref="S26 S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1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21875" defaultRowHeight="14.4" x14ac:dyDescent="0.3"/>
  <cols>
    <col min="1" max="1" width="21.77734375" bestFit="1" customWidth="1"/>
    <col min="2" max="3" width="8.44140625" bestFit="1" customWidth="1"/>
    <col min="4" max="4" width="7.77734375" bestFit="1" customWidth="1"/>
    <col min="5" max="12" width="8.44140625" bestFit="1" customWidth="1"/>
    <col min="13" max="13" width="7.21875" style="18" bestFit="1" customWidth="1"/>
    <col min="14" max="14" width="6.5546875" style="18" bestFit="1" customWidth="1"/>
    <col min="15" max="15" width="6.44140625" style="18" bestFit="1" customWidth="1"/>
    <col min="16" max="16" width="9.44140625" bestFit="1" customWidth="1"/>
    <col min="17" max="20" width="6.44140625" bestFit="1" customWidth="1"/>
    <col min="21" max="21" width="7.21875" bestFit="1" customWidth="1"/>
    <col min="22" max="23" width="6.44140625" bestFit="1" customWidth="1"/>
    <col min="24" max="25" width="6.44140625" style="18" bestFit="1" customWidth="1"/>
    <col min="26" max="26" width="7.21875" bestFit="1" customWidth="1"/>
    <col min="27" max="102" width="9.21875" style="18" customWidth="1"/>
  </cols>
  <sheetData>
    <row r="1" spans="1:26" x14ac:dyDescent="0.3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  <c r="Y1" s="7" t="s">
        <v>155</v>
      </c>
      <c r="Z1" s="7">
        <v>2021</v>
      </c>
    </row>
    <row r="2" spans="1:26" x14ac:dyDescent="0.3">
      <c r="A2" s="71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68" t="s">
        <v>125</v>
      </c>
      <c r="B3" s="69">
        <v>121.41288806487489</v>
      </c>
      <c r="C3" s="69">
        <v>131.06545524505546</v>
      </c>
      <c r="D3" s="69">
        <v>105.90999160488593</v>
      </c>
      <c r="E3" s="69">
        <v>149.43299999999999</v>
      </c>
      <c r="F3" s="69">
        <f>+SUM(B3:E3)</f>
        <v>507.82133491481625</v>
      </c>
      <c r="G3" s="69">
        <v>143.6927642147453</v>
      </c>
      <c r="H3" s="69">
        <v>153.40063083811762</v>
      </c>
      <c r="I3" s="69">
        <v>134.67987977082564</v>
      </c>
      <c r="J3" s="69">
        <v>184.24137722798145</v>
      </c>
      <c r="K3" s="69">
        <f>+SUM(G3:J3)</f>
        <v>616.01465205167005</v>
      </c>
      <c r="L3" s="69">
        <v>174.925997</v>
      </c>
      <c r="M3" s="69">
        <v>170.56973799999997</v>
      </c>
      <c r="N3" s="69">
        <v>147.70526900000004</v>
      </c>
      <c r="O3" s="69">
        <v>198.59064599999999</v>
      </c>
      <c r="P3" s="69">
        <f>+SUM(L3:O3)</f>
        <v>691.79165</v>
      </c>
      <c r="Q3" s="69">
        <v>252.24567299999998</v>
      </c>
      <c r="R3" s="69">
        <v>259.00899200000009</v>
      </c>
      <c r="S3" s="69">
        <v>209.3981729999999</v>
      </c>
      <c r="T3" s="69">
        <v>280.30682399999995</v>
      </c>
      <c r="U3" s="69">
        <f>+SUM(Q3:T3)</f>
        <v>1000.959662</v>
      </c>
      <c r="V3" s="69">
        <v>282.22109899999998</v>
      </c>
      <c r="W3" s="69">
        <v>346.56913500000002</v>
      </c>
      <c r="X3" s="69">
        <v>301.51692699999984</v>
      </c>
      <c r="Y3" s="69">
        <v>401.52359999999999</v>
      </c>
      <c r="Z3" s="69">
        <f>+SUM(V3:Y3)</f>
        <v>1331.8307609999999</v>
      </c>
    </row>
    <row r="4" spans="1:26" x14ac:dyDescent="0.3">
      <c r="A4" s="68" t="s">
        <v>126</v>
      </c>
      <c r="B4" s="69">
        <v>765.10342937046698</v>
      </c>
      <c r="C4" s="69">
        <v>1001.83385595759</v>
      </c>
      <c r="D4" s="69">
        <v>508.65626515250005</v>
      </c>
      <c r="E4" s="69">
        <v>1192.4912020132899</v>
      </c>
      <c r="F4" s="69">
        <f>+SUM(B4:E4)</f>
        <v>3468.0847524938472</v>
      </c>
      <c r="G4" s="69">
        <v>1009.3560079081851</v>
      </c>
      <c r="H4" s="69">
        <v>1317.39358723944</v>
      </c>
      <c r="I4" s="69">
        <v>666.49854617793517</v>
      </c>
      <c r="J4" s="69">
        <v>1505.0511196783893</v>
      </c>
      <c r="K4" s="69">
        <f>+SUM(G4:J4)</f>
        <v>4498.2992610039491</v>
      </c>
      <c r="L4" s="69">
        <v>1369.4005280000001</v>
      </c>
      <c r="M4" s="69">
        <v>1420.6636570000001</v>
      </c>
      <c r="N4" s="69">
        <v>845.16791099999955</v>
      </c>
      <c r="O4" s="69">
        <v>1764.6108341313056</v>
      </c>
      <c r="P4" s="69">
        <f>+SUM(L4:O4)</f>
        <v>5399.8429301313054</v>
      </c>
      <c r="Q4" s="69">
        <v>1569.1168</v>
      </c>
      <c r="R4" s="69">
        <v>1926.3392110000004</v>
      </c>
      <c r="S4" s="69">
        <v>1145.853719</v>
      </c>
      <c r="T4" s="69">
        <v>2163.7635279999995</v>
      </c>
      <c r="U4" s="69">
        <f t="shared" ref="U4:U5" si="0">+SUM(Q4:T4)</f>
        <v>6805.0732579999994</v>
      </c>
      <c r="V4" s="69">
        <v>2108.1513629999999</v>
      </c>
      <c r="W4" s="69">
        <v>2428.7067569999999</v>
      </c>
      <c r="X4" s="69">
        <v>1474.1010910000005</v>
      </c>
      <c r="Y4" s="69">
        <v>2579.2178220000001</v>
      </c>
      <c r="Z4" s="69">
        <f t="shared" ref="Z4:Z5" si="1">+SUM(V4:Y4)</f>
        <v>8590.1770329999999</v>
      </c>
    </row>
    <row r="5" spans="1:26" x14ac:dyDescent="0.3">
      <c r="A5" s="68" t="s">
        <v>124</v>
      </c>
      <c r="B5" s="69">
        <v>3.1979850610204799</v>
      </c>
      <c r="C5" s="69">
        <v>1.3233992745968699</v>
      </c>
      <c r="D5" s="69">
        <v>0.5337819960032002</v>
      </c>
      <c r="E5" s="69">
        <v>0.8620000000000001</v>
      </c>
      <c r="F5" s="69">
        <f>+SUM(B5:E5)</f>
        <v>5.9171663316205505</v>
      </c>
      <c r="G5" s="69">
        <v>1.62723610687925</v>
      </c>
      <c r="H5" s="69">
        <v>2.2116604355829605</v>
      </c>
      <c r="I5" s="69">
        <v>0.60581892897637002</v>
      </c>
      <c r="J5" s="69">
        <v>2.5130716560802204</v>
      </c>
      <c r="K5" s="69">
        <f>+SUM(G5:J5)</f>
        <v>6.9577871275188006</v>
      </c>
      <c r="L5" s="69">
        <v>1.083253</v>
      </c>
      <c r="M5" s="69">
        <v>-0.12752700000000006</v>
      </c>
      <c r="N5" s="69">
        <v>0.925871</v>
      </c>
      <c r="O5" s="69">
        <v>1.2357554408710503</v>
      </c>
      <c r="P5" s="69">
        <f>+SUM(L5:O5)</f>
        <v>3.1173524408710502</v>
      </c>
      <c r="Q5" s="69">
        <v>8.3668079999999989</v>
      </c>
      <c r="R5" s="69">
        <v>1.9822190000000011</v>
      </c>
      <c r="S5" s="69">
        <v>1.591246000000001</v>
      </c>
      <c r="T5" s="69">
        <v>1.9584299999999986</v>
      </c>
      <c r="U5" s="69">
        <f t="shared" si="0"/>
        <v>13.898702999999999</v>
      </c>
      <c r="V5" s="69">
        <v>1.1502329999999998</v>
      </c>
      <c r="W5" s="69">
        <v>-0.34559400000000007</v>
      </c>
      <c r="X5" s="69">
        <v>0.88769400000000021</v>
      </c>
      <c r="Y5" s="69">
        <v>1.6509510000000001</v>
      </c>
      <c r="Z5" s="69">
        <f t="shared" si="1"/>
        <v>3.3432840000000001</v>
      </c>
    </row>
    <row r="6" spans="1:26" x14ac:dyDescent="0.3">
      <c r="A6" s="70" t="s">
        <v>127</v>
      </c>
      <c r="B6" s="70">
        <f>(+SUM(B3:B5))</f>
        <v>889.71430249636239</v>
      </c>
      <c r="C6" s="70">
        <f t="shared" ref="C6:L6" si="2">(+SUM(C3:C5))</f>
        <v>1134.2227104772423</v>
      </c>
      <c r="D6" s="70">
        <f t="shared" si="2"/>
        <v>615.10003875338919</v>
      </c>
      <c r="E6" s="70">
        <f t="shared" si="2"/>
        <v>1342.78620201329</v>
      </c>
      <c r="F6" s="70">
        <f t="shared" si="2"/>
        <v>3981.8232537402841</v>
      </c>
      <c r="G6" s="70">
        <f>(+SUM(G3:G5))</f>
        <v>1154.6760082298097</v>
      </c>
      <c r="H6" s="70">
        <f t="shared" si="2"/>
        <v>1473.0058785131405</v>
      </c>
      <c r="I6" s="70">
        <f t="shared" si="2"/>
        <v>801.78424487773725</v>
      </c>
      <c r="J6" s="70">
        <f>(+SUM(J3:J5))</f>
        <v>1691.8055685624511</v>
      </c>
      <c r="K6" s="70">
        <f>(+SUM(K3:K5))</f>
        <v>5121.2717001831379</v>
      </c>
      <c r="L6" s="70">
        <f t="shared" si="2"/>
        <v>1545.4097780000002</v>
      </c>
      <c r="M6" s="70">
        <f t="shared" ref="M6" si="3">(+SUM(M3:M5))</f>
        <v>1591.1058679999999</v>
      </c>
      <c r="N6" s="70">
        <f t="shared" ref="N6:X6" si="4">(+SUM(N3:N5))</f>
        <v>993.79905099999962</v>
      </c>
      <c r="O6" s="70">
        <f t="shared" si="4"/>
        <v>1964.4372355721769</v>
      </c>
      <c r="P6" s="70">
        <f t="shared" si="4"/>
        <v>6094.7519325721769</v>
      </c>
      <c r="Q6" s="70">
        <f t="shared" si="4"/>
        <v>1829.7292809999999</v>
      </c>
      <c r="R6" s="70">
        <f t="shared" si="4"/>
        <v>2187.3304220000005</v>
      </c>
      <c r="S6" s="70">
        <f t="shared" si="4"/>
        <v>1356.8431379999997</v>
      </c>
      <c r="T6" s="70">
        <f t="shared" si="4"/>
        <v>2446.0287819999994</v>
      </c>
      <c r="U6" s="70">
        <f t="shared" si="4"/>
        <v>7819.9316229999995</v>
      </c>
      <c r="V6" s="70">
        <f t="shared" si="4"/>
        <v>2391.5226949999997</v>
      </c>
      <c r="W6" s="70">
        <f t="shared" si="4"/>
        <v>2774.9302980000002</v>
      </c>
      <c r="X6" s="70">
        <f t="shared" si="4"/>
        <v>1776.5057120000004</v>
      </c>
      <c r="Y6" s="70">
        <f>(+SUM(Y3:Y5))</f>
        <v>2982.3923730000001</v>
      </c>
      <c r="Z6" s="70">
        <f t="shared" ref="Z6" si="5">(+SUM(Z3:Z5))</f>
        <v>9925.3510779999997</v>
      </c>
    </row>
    <row r="7" spans="1:26" x14ac:dyDescent="0.3">
      <c r="A7" s="71" t="s">
        <v>112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x14ac:dyDescent="0.3">
      <c r="A8" s="68" t="s">
        <v>125</v>
      </c>
      <c r="B8" s="69">
        <v>20.084584355410353</v>
      </c>
      <c r="C8" s="69">
        <v>18.123606643974924</v>
      </c>
      <c r="D8" s="69">
        <v>13.275906165030491</v>
      </c>
      <c r="E8" s="69">
        <v>24.291000000000004</v>
      </c>
      <c r="F8" s="69">
        <f t="shared" ref="F8:F10" si="6">+SUM(B8:E8)</f>
        <v>75.775097164415769</v>
      </c>
      <c r="G8" s="69">
        <v>22.737750661640028</v>
      </c>
      <c r="H8" s="69">
        <v>26.200008085403759</v>
      </c>
      <c r="I8" s="69">
        <v>22.134465288237418</v>
      </c>
      <c r="J8" s="69">
        <v>36.060478398877414</v>
      </c>
      <c r="K8" s="69">
        <f>+SUM(G8:J8)</f>
        <v>107.13270243415863</v>
      </c>
      <c r="L8" s="69">
        <v>30.489557000000001</v>
      </c>
      <c r="M8" s="69">
        <v>32.227902999999998</v>
      </c>
      <c r="N8" s="69">
        <v>26.278869999999998</v>
      </c>
      <c r="O8" s="69">
        <v>48.257587735792896</v>
      </c>
      <c r="P8" s="69">
        <f>+SUM(L8:O8)</f>
        <v>137.2539177357929</v>
      </c>
      <c r="Q8" s="69">
        <v>43.225434</v>
      </c>
      <c r="R8" s="69">
        <v>39.788025000000005</v>
      </c>
      <c r="S8" s="69">
        <v>43.672230999999989</v>
      </c>
      <c r="T8" s="69">
        <v>66.737339000000006</v>
      </c>
      <c r="U8" s="69">
        <f>+SUM(Q8:T8)</f>
        <v>193.42302899999999</v>
      </c>
      <c r="V8" s="69">
        <v>53.015808000000007</v>
      </c>
      <c r="W8" s="69">
        <v>59.534140000000001</v>
      </c>
      <c r="X8" s="69">
        <v>58.365889999999986</v>
      </c>
      <c r="Y8" s="69">
        <v>86.590307000000024</v>
      </c>
      <c r="Z8" s="69">
        <f>+SUM(V8:Y8)</f>
        <v>257.506145</v>
      </c>
    </row>
    <row r="9" spans="1:26" x14ac:dyDescent="0.3">
      <c r="A9" s="68" t="s">
        <v>126</v>
      </c>
      <c r="B9" s="69">
        <v>180.48721237963406</v>
      </c>
      <c r="C9" s="69">
        <v>793.23774830607294</v>
      </c>
      <c r="D9" s="69">
        <v>202.73710792264802</v>
      </c>
      <c r="E9" s="69">
        <v>474.57600000000002</v>
      </c>
      <c r="F9" s="69">
        <f t="shared" si="6"/>
        <v>1651.0380686083549</v>
      </c>
      <c r="G9" s="69">
        <v>253.94891664033025</v>
      </c>
      <c r="H9" s="69">
        <v>744.35677902622626</v>
      </c>
      <c r="I9" s="69">
        <v>349.28749170860999</v>
      </c>
      <c r="J9" s="69">
        <v>369.55765797063339</v>
      </c>
      <c r="K9" s="69">
        <f>+SUM(G9:J9)</f>
        <v>1717.1508453458</v>
      </c>
      <c r="L9" s="69">
        <v>412.06541200000004</v>
      </c>
      <c r="M9" s="69">
        <v>1035.0884019999999</v>
      </c>
      <c r="N9" s="69">
        <v>575.40679999999998</v>
      </c>
      <c r="O9" s="69">
        <v>818.23786682157288</v>
      </c>
      <c r="P9" s="69">
        <f>+SUM(L9:O9)</f>
        <v>2840.7984808215724</v>
      </c>
      <c r="Q9" s="69">
        <v>806.97755400000005</v>
      </c>
      <c r="R9" s="69">
        <v>1570.9720479999999</v>
      </c>
      <c r="S9" s="69">
        <v>809.93337799999983</v>
      </c>
      <c r="T9" s="69">
        <v>1390.8437349999999</v>
      </c>
      <c r="U9" s="69">
        <f t="shared" ref="U9:U10" si="7">+SUM(Q9:T9)</f>
        <v>4578.7267149999989</v>
      </c>
      <c r="V9" s="69">
        <v>1074.548213</v>
      </c>
      <c r="W9" s="69">
        <v>2306.0426520000001</v>
      </c>
      <c r="X9" s="69">
        <v>1432.9571969999995</v>
      </c>
      <c r="Y9" s="69">
        <v>1761.5323269999999</v>
      </c>
      <c r="Z9" s="69">
        <f t="shared" ref="Z9:Z10" si="8">+SUM(V9:Y9)</f>
        <v>6575.0803889999997</v>
      </c>
    </row>
    <row r="10" spans="1:26" x14ac:dyDescent="0.3">
      <c r="A10" s="68" t="s">
        <v>124</v>
      </c>
      <c r="B10" s="69">
        <v>2.0070596781444698</v>
      </c>
      <c r="C10" s="69">
        <v>1.0666086324536805</v>
      </c>
      <c r="D10" s="69">
        <v>0.89492394841207989</v>
      </c>
      <c r="E10" s="69">
        <v>0.57000000000000028</v>
      </c>
      <c r="F10" s="69">
        <f t="shared" si="6"/>
        <v>4.5385922590102306</v>
      </c>
      <c r="G10" s="69">
        <v>1.0105567786301699</v>
      </c>
      <c r="H10" s="69">
        <v>1.0051997169988101</v>
      </c>
      <c r="I10" s="69">
        <v>2.6070066764809408</v>
      </c>
      <c r="J10" s="69">
        <v>1.8874583198615209</v>
      </c>
      <c r="K10" s="69">
        <f>+SUM(G10:J10)</f>
        <v>6.5102214919714418</v>
      </c>
      <c r="L10" s="69">
        <v>0.62361699999999998</v>
      </c>
      <c r="M10" s="69">
        <v>0.38666699999999998</v>
      </c>
      <c r="N10" s="69">
        <v>0.51075200000000009</v>
      </c>
      <c r="O10" s="69">
        <v>0.71723949309124002</v>
      </c>
      <c r="P10" s="69">
        <f>+SUM(L10:O10)</f>
        <v>2.2382754930912401</v>
      </c>
      <c r="Q10" s="69">
        <v>0.56872599999999984</v>
      </c>
      <c r="R10" s="69">
        <v>14.207343999999999</v>
      </c>
      <c r="S10" s="69">
        <v>1.0280489999999991</v>
      </c>
      <c r="T10" s="69">
        <v>-13.533951999999999</v>
      </c>
      <c r="U10" s="69">
        <f t="shared" si="7"/>
        <v>2.2701669999999989</v>
      </c>
      <c r="V10" s="69">
        <v>0.59589899999999996</v>
      </c>
      <c r="W10" s="69">
        <v>0.17386900000000002</v>
      </c>
      <c r="X10" s="69">
        <v>0.7271979999999999</v>
      </c>
      <c r="Y10" s="69">
        <v>1.7829150000000005</v>
      </c>
      <c r="Z10" s="69">
        <f t="shared" si="8"/>
        <v>3.2798810000000005</v>
      </c>
    </row>
    <row r="11" spans="1:26" x14ac:dyDescent="0.3">
      <c r="A11" s="70" t="s">
        <v>128</v>
      </c>
      <c r="B11" s="70">
        <f>+SUM(B8:B10)</f>
        <v>202.57885641318887</v>
      </c>
      <c r="C11" s="70">
        <f t="shared" ref="C11:L11" si="9">+SUM(C8:C10)</f>
        <v>812.42796358250155</v>
      </c>
      <c r="D11" s="70">
        <f t="shared" si="9"/>
        <v>216.9079380360906</v>
      </c>
      <c r="E11" s="70">
        <f t="shared" si="9"/>
        <v>499.43700000000001</v>
      </c>
      <c r="F11" s="70">
        <f t="shared" si="9"/>
        <v>1731.3517580317809</v>
      </c>
      <c r="G11" s="70">
        <f t="shared" si="9"/>
        <v>277.69722408060045</v>
      </c>
      <c r="H11" s="70">
        <f t="shared" si="9"/>
        <v>771.56198682862885</v>
      </c>
      <c r="I11" s="70">
        <f t="shared" si="9"/>
        <v>374.02896367332835</v>
      </c>
      <c r="J11" s="70">
        <f t="shared" si="9"/>
        <v>407.50559468937234</v>
      </c>
      <c r="K11" s="70">
        <f t="shared" si="9"/>
        <v>1830.7937692719299</v>
      </c>
      <c r="L11" s="70">
        <f t="shared" si="9"/>
        <v>443.17858600000005</v>
      </c>
      <c r="M11" s="70">
        <f t="shared" ref="M11:Y11" si="10">+SUM(M8:M10)</f>
        <v>1067.7029719999998</v>
      </c>
      <c r="N11" s="70">
        <f t="shared" si="10"/>
        <v>602.19642199999998</v>
      </c>
      <c r="O11" s="70">
        <f t="shared" si="10"/>
        <v>867.212694050457</v>
      </c>
      <c r="P11" s="70">
        <f t="shared" si="10"/>
        <v>2980.2906740504568</v>
      </c>
      <c r="Q11" s="70">
        <f t="shared" si="10"/>
        <v>850.77171399999997</v>
      </c>
      <c r="R11" s="70">
        <f t="shared" si="10"/>
        <v>1624.9674169999998</v>
      </c>
      <c r="S11" s="70">
        <f t="shared" si="10"/>
        <v>854.63365799999985</v>
      </c>
      <c r="T11" s="70">
        <f t="shared" si="10"/>
        <v>1444.0471219999999</v>
      </c>
      <c r="U11" s="70">
        <f t="shared" si="10"/>
        <v>4774.4199109999981</v>
      </c>
      <c r="V11" s="70">
        <f t="shared" si="10"/>
        <v>1128.1599200000001</v>
      </c>
      <c r="W11" s="70">
        <f t="shared" si="10"/>
        <v>2365.7506610000005</v>
      </c>
      <c r="X11" s="70">
        <f t="shared" si="10"/>
        <v>1492.0502849999996</v>
      </c>
      <c r="Y11" s="70">
        <f t="shared" si="10"/>
        <v>1849.9055489999998</v>
      </c>
      <c r="Z11" s="70">
        <f t="shared" ref="Z11" si="11">+SUM(Z8:Z10)</f>
        <v>6835.8664150000004</v>
      </c>
    </row>
    <row r="12" spans="1:26" x14ac:dyDescent="0.3">
      <c r="A12" s="71" t="s">
        <v>113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x14ac:dyDescent="0.3">
      <c r="A13" s="68" t="s">
        <v>125</v>
      </c>
      <c r="B13" s="69">
        <v>4.7946346353392206</v>
      </c>
      <c r="C13" s="69">
        <v>4.1170107051013591</v>
      </c>
      <c r="D13" s="69">
        <v>9.1449225803272167</v>
      </c>
      <c r="E13" s="69">
        <v>6.0850000000000009</v>
      </c>
      <c r="F13" s="69">
        <f t="shared" ref="F13:F15" si="12">+SUM(B13:E13)</f>
        <v>24.141567920767798</v>
      </c>
      <c r="G13" s="69">
        <v>4.7318703163890508</v>
      </c>
      <c r="H13" s="69">
        <v>6.5356039714855498</v>
      </c>
      <c r="I13" s="69">
        <v>6.933102033296711</v>
      </c>
      <c r="J13" s="69">
        <v>8.1531952145408209</v>
      </c>
      <c r="K13" s="69">
        <f>+SUM(G13:J13)</f>
        <v>26.353771535712134</v>
      </c>
      <c r="L13" s="69">
        <v>8.0611239999999995</v>
      </c>
      <c r="M13" s="69">
        <v>12.167839000000004</v>
      </c>
      <c r="N13" s="69">
        <v>12.154175999999996</v>
      </c>
      <c r="O13" s="69">
        <v>27.654777693490217</v>
      </c>
      <c r="P13" s="69">
        <f>+SUM(L13:O13)</f>
        <v>60.037916693490217</v>
      </c>
      <c r="Q13" s="69">
        <v>20.076519000000001</v>
      </c>
      <c r="R13" s="69">
        <v>42.779813000000011</v>
      </c>
      <c r="S13" s="69">
        <v>28.180241999999993</v>
      </c>
      <c r="T13" s="69">
        <v>40.588861999999999</v>
      </c>
      <c r="U13" s="69">
        <f t="shared" ref="U13:U15" si="13">+SUM(Q13:T13)</f>
        <v>131.62543600000001</v>
      </c>
      <c r="V13" s="69">
        <v>28.611758999999999</v>
      </c>
      <c r="W13" s="69">
        <v>61.840345000000006</v>
      </c>
      <c r="X13" s="69">
        <v>57.174232000000003</v>
      </c>
      <c r="Y13" s="69">
        <v>130.549104</v>
      </c>
      <c r="Z13" s="69">
        <f t="shared" ref="Z13:Z15" si="14">+SUM(V13:Y13)</f>
        <v>278.17543999999998</v>
      </c>
    </row>
    <row r="14" spans="1:26" x14ac:dyDescent="0.3">
      <c r="A14" s="68" t="s">
        <v>126</v>
      </c>
      <c r="B14" s="69">
        <v>206.20462966492502</v>
      </c>
      <c r="C14" s="69">
        <v>336.88386298333103</v>
      </c>
      <c r="D14" s="69">
        <v>358.94029506582797</v>
      </c>
      <c r="E14" s="69">
        <v>355.85799999999995</v>
      </c>
      <c r="F14" s="69">
        <f t="shared" si="12"/>
        <v>1257.886787714084</v>
      </c>
      <c r="G14" s="69">
        <v>307.18557756807411</v>
      </c>
      <c r="H14" s="69">
        <v>602.34976350567081</v>
      </c>
      <c r="I14" s="69">
        <v>303.16695617527904</v>
      </c>
      <c r="J14" s="69">
        <v>538.44535151364767</v>
      </c>
      <c r="K14" s="69">
        <f>+SUM(G14:J14)</f>
        <v>1751.1476487626717</v>
      </c>
      <c r="L14" s="69">
        <v>435.548159</v>
      </c>
      <c r="M14" s="69">
        <v>1031.1298750000001</v>
      </c>
      <c r="N14" s="69">
        <v>575.20050300000003</v>
      </c>
      <c r="O14" s="69">
        <v>748.76390019508608</v>
      </c>
      <c r="P14" s="69">
        <f>+SUM(L14:O14)</f>
        <v>2790.6424371950861</v>
      </c>
      <c r="Q14" s="69">
        <v>817.23881099999994</v>
      </c>
      <c r="R14" s="69">
        <v>1286.5285000000001</v>
      </c>
      <c r="S14" s="69">
        <v>921.10458699999981</v>
      </c>
      <c r="T14" s="69">
        <v>1091.5441500000004</v>
      </c>
      <c r="U14" s="69">
        <f t="shared" si="13"/>
        <v>4116.416048</v>
      </c>
      <c r="V14" s="69">
        <v>1132.846591</v>
      </c>
      <c r="W14" s="69">
        <v>1785.1108710000003</v>
      </c>
      <c r="X14" s="69">
        <v>1236.0259369999994</v>
      </c>
      <c r="Y14" s="69">
        <v>2134.0247260000006</v>
      </c>
      <c r="Z14" s="69">
        <f t="shared" si="14"/>
        <v>6288.0081250000003</v>
      </c>
    </row>
    <row r="15" spans="1:26" x14ac:dyDescent="0.3">
      <c r="A15" s="68" t="s">
        <v>124</v>
      </c>
      <c r="B15" s="69">
        <v>4.0811713048000034E-2</v>
      </c>
      <c r="C15" s="69">
        <v>0.15107464749988</v>
      </c>
      <c r="D15" s="69">
        <v>0.10035504882139996</v>
      </c>
      <c r="E15" s="69">
        <v>0</v>
      </c>
      <c r="F15" s="69">
        <f t="shared" si="12"/>
        <v>0.29224140936928</v>
      </c>
      <c r="G15" s="69">
        <v>0.34472006963647001</v>
      </c>
      <c r="H15" s="69">
        <v>0.64772190445339017</v>
      </c>
      <c r="I15" s="69">
        <v>0.39590640550516981</v>
      </c>
      <c r="J15" s="69">
        <v>2.3018260643899504</v>
      </c>
      <c r="K15" s="69">
        <f>+SUM(G15:J15)</f>
        <v>3.6901744439849802</v>
      </c>
      <c r="L15" s="69">
        <v>0.460067</v>
      </c>
      <c r="M15" s="69">
        <v>0.5173310000000001</v>
      </c>
      <c r="N15" s="69">
        <v>0.3023899999999996</v>
      </c>
      <c r="O15" s="69">
        <v>0.49907183022463042</v>
      </c>
      <c r="P15" s="69">
        <f>+SUM(L15:O15)</f>
        <v>1.7788598302246301</v>
      </c>
      <c r="Q15" s="69">
        <v>0.97082099999999993</v>
      </c>
      <c r="R15" s="69">
        <v>0.79708200000000029</v>
      </c>
      <c r="S15" s="69">
        <v>1.5843310000000002</v>
      </c>
      <c r="T15" s="69">
        <v>1.4440539999999993</v>
      </c>
      <c r="U15" s="69">
        <f t="shared" si="13"/>
        <v>4.7962879999999997</v>
      </c>
      <c r="V15" s="69">
        <v>0.63859399999999988</v>
      </c>
      <c r="W15" s="69">
        <v>0.52156199999999997</v>
      </c>
      <c r="X15" s="69">
        <v>0.78949500000000017</v>
      </c>
      <c r="Y15" s="69">
        <v>1.8390159999999998</v>
      </c>
      <c r="Z15" s="69">
        <f t="shared" si="14"/>
        <v>3.7886669999999993</v>
      </c>
    </row>
    <row r="16" spans="1:26" x14ac:dyDescent="0.3">
      <c r="A16" s="70" t="s">
        <v>129</v>
      </c>
      <c r="B16" s="70">
        <f t="shared" ref="B16:L16" si="15">+SUM(B13:B15)</f>
        <v>211.04007601331222</v>
      </c>
      <c r="C16" s="70">
        <f t="shared" si="15"/>
        <v>341.15194833593222</v>
      </c>
      <c r="D16" s="70">
        <f t="shared" si="15"/>
        <v>368.1855726949766</v>
      </c>
      <c r="E16" s="70">
        <f t="shared" si="15"/>
        <v>361.94299999999993</v>
      </c>
      <c r="F16" s="70">
        <f t="shared" si="15"/>
        <v>1282.3205970442211</v>
      </c>
      <c r="G16" s="70">
        <f t="shared" si="15"/>
        <v>312.26216795409965</v>
      </c>
      <c r="H16" s="70">
        <f t="shared" si="15"/>
        <v>609.53308938160978</v>
      </c>
      <c r="I16" s="70">
        <f t="shared" si="15"/>
        <v>310.49596461408095</v>
      </c>
      <c r="J16" s="70">
        <f t="shared" si="15"/>
        <v>548.90037279257842</v>
      </c>
      <c r="K16" s="70">
        <f t="shared" si="15"/>
        <v>1781.1915947423688</v>
      </c>
      <c r="L16" s="70">
        <f t="shared" si="15"/>
        <v>444.06934999999999</v>
      </c>
      <c r="M16" s="70">
        <f t="shared" ref="M16:Y16" si="16">+SUM(M13:M15)</f>
        <v>1043.8150450000001</v>
      </c>
      <c r="N16" s="70">
        <f t="shared" si="16"/>
        <v>587.65706899999998</v>
      </c>
      <c r="O16" s="70">
        <f t="shared" si="16"/>
        <v>776.91774971880091</v>
      </c>
      <c r="P16" s="70">
        <f t="shared" si="16"/>
        <v>2852.459213718801</v>
      </c>
      <c r="Q16" s="70">
        <f t="shared" si="16"/>
        <v>838.2861509999999</v>
      </c>
      <c r="R16" s="70">
        <f t="shared" si="16"/>
        <v>1330.1053950000003</v>
      </c>
      <c r="S16" s="70">
        <f t="shared" si="16"/>
        <v>950.86915999999985</v>
      </c>
      <c r="T16" s="70">
        <f t="shared" si="16"/>
        <v>1133.5770660000005</v>
      </c>
      <c r="U16" s="70">
        <f t="shared" si="16"/>
        <v>4252.8377719999999</v>
      </c>
      <c r="V16" s="70">
        <f t="shared" si="16"/>
        <v>1162.0969439999999</v>
      </c>
      <c r="W16" s="70">
        <f t="shared" si="16"/>
        <v>1847.4727780000003</v>
      </c>
      <c r="X16" s="70">
        <f t="shared" si="16"/>
        <v>1293.9896639999995</v>
      </c>
      <c r="Y16" s="70">
        <f t="shared" si="16"/>
        <v>2266.4128460000006</v>
      </c>
      <c r="Z16" s="70">
        <f t="shared" ref="Z16" si="17">+SUM(Z13:Z15)</f>
        <v>6569.9722320000001</v>
      </c>
    </row>
    <row r="17" spans="1:26" x14ac:dyDescent="0.3">
      <c r="A17" s="71" t="s">
        <v>114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x14ac:dyDescent="0.3">
      <c r="A18" s="68" t="s">
        <v>125</v>
      </c>
      <c r="B18" s="69">
        <v>29.898265288035873</v>
      </c>
      <c r="C18" s="69">
        <v>33.567313520574835</v>
      </c>
      <c r="D18" s="69">
        <v>26.828421191389289</v>
      </c>
      <c r="E18" s="69">
        <v>26.516000000000005</v>
      </c>
      <c r="F18" s="69">
        <f t="shared" ref="F18:F20" si="18">+SUM(B18:E18)</f>
        <v>116.81</v>
      </c>
      <c r="G18" s="69">
        <v>29.352591176710774</v>
      </c>
      <c r="H18" s="69">
        <v>31.081253488095477</v>
      </c>
      <c r="I18" s="69">
        <v>35.405426240485944</v>
      </c>
      <c r="J18" s="69">
        <v>37.839091967866104</v>
      </c>
      <c r="K18" s="69">
        <f t="shared" ref="K18:K20" si="19">+SUM(G18:J18)</f>
        <v>133.67836287315831</v>
      </c>
      <c r="L18" s="69">
        <v>35.428188999999996</v>
      </c>
      <c r="M18" s="69">
        <v>38.688276000000009</v>
      </c>
      <c r="N18" s="69">
        <v>44.242865999999992</v>
      </c>
      <c r="O18" s="69">
        <v>54.109428199999996</v>
      </c>
      <c r="P18" s="69">
        <f t="shared" ref="P18:P20" si="20">+SUM(L18:O18)</f>
        <v>172.46875919999999</v>
      </c>
      <c r="Q18" s="69">
        <v>50.513302000000003</v>
      </c>
      <c r="R18" s="69">
        <v>58.057670999999992</v>
      </c>
      <c r="S18" s="69">
        <v>63.513502000000017</v>
      </c>
      <c r="T18" s="69">
        <v>70.870649999999969</v>
      </c>
      <c r="U18" s="69">
        <f t="shared" ref="U18:U20" si="21">+SUM(Q18:T18)</f>
        <v>242.95512499999995</v>
      </c>
      <c r="V18" s="69">
        <v>75.130802000000003</v>
      </c>
      <c r="W18" s="69">
        <v>80.381133000000005</v>
      </c>
      <c r="X18" s="69">
        <v>82.698789000000005</v>
      </c>
      <c r="Y18" s="69">
        <v>92.019641000000021</v>
      </c>
      <c r="Z18" s="69">
        <f t="shared" ref="Z18:Z20" si="22">+SUM(V18:Y18)</f>
        <v>330.23036500000001</v>
      </c>
    </row>
    <row r="19" spans="1:26" x14ac:dyDescent="0.3">
      <c r="A19" s="68" t="s">
        <v>126</v>
      </c>
      <c r="B19" s="69">
        <v>42.240610311623577</v>
      </c>
      <c r="C19" s="69">
        <v>105.94137378373634</v>
      </c>
      <c r="D19" s="69">
        <v>39.337015904640083</v>
      </c>
      <c r="E19" s="69">
        <v>66.574999999999989</v>
      </c>
      <c r="F19" s="69">
        <f t="shared" si="18"/>
        <v>254.09399999999999</v>
      </c>
      <c r="G19" s="69">
        <v>97.668258258721437</v>
      </c>
      <c r="H19" s="69">
        <v>194.54334305594327</v>
      </c>
      <c r="I19" s="69">
        <v>111.74976971417695</v>
      </c>
      <c r="J19" s="69">
        <v>149.68122753330837</v>
      </c>
      <c r="K19" s="69">
        <f t="shared" si="19"/>
        <v>553.64259856215006</v>
      </c>
      <c r="L19" s="69">
        <v>210.497141</v>
      </c>
      <c r="M19" s="69">
        <v>569.47687199999996</v>
      </c>
      <c r="N19" s="69">
        <v>329.74498700000004</v>
      </c>
      <c r="O19" s="69">
        <v>595.8211351948944</v>
      </c>
      <c r="P19" s="69">
        <f t="shared" si="20"/>
        <v>1705.5401351948944</v>
      </c>
      <c r="Q19" s="69">
        <v>685.69378700000004</v>
      </c>
      <c r="R19" s="69">
        <v>972.84044999999992</v>
      </c>
      <c r="S19" s="69">
        <v>509.36744699999991</v>
      </c>
      <c r="T19" s="69">
        <v>646.16439900000034</v>
      </c>
      <c r="U19" s="69">
        <f t="shared" si="21"/>
        <v>2814.0660830000002</v>
      </c>
      <c r="V19" s="69">
        <v>834.65348300000005</v>
      </c>
      <c r="W19" s="69">
        <v>1092.0603080000003</v>
      </c>
      <c r="X19" s="69">
        <v>603.99162799999976</v>
      </c>
      <c r="Y19" s="69">
        <v>677.27772200000004</v>
      </c>
      <c r="Z19" s="69">
        <f t="shared" si="22"/>
        <v>3207.9831409999997</v>
      </c>
    </row>
    <row r="20" spans="1:26" x14ac:dyDescent="0.3">
      <c r="A20" s="68" t="s">
        <v>124</v>
      </c>
      <c r="B20" s="69">
        <v>0.16342221321498029</v>
      </c>
      <c r="C20" s="69">
        <v>0.11113858523167963</v>
      </c>
      <c r="D20" s="69">
        <v>9.4439201553340069E-2</v>
      </c>
      <c r="E20" s="69">
        <v>0.51600000000000001</v>
      </c>
      <c r="F20" s="69">
        <f t="shared" si="18"/>
        <v>0.88500000000000001</v>
      </c>
      <c r="G20" s="69">
        <v>0.11129945356833001</v>
      </c>
      <c r="H20" s="69">
        <v>-7.4853421585740015E-2</v>
      </c>
      <c r="I20" s="69">
        <v>0.7519575554876099</v>
      </c>
      <c r="J20" s="69">
        <v>0.6860037788831701</v>
      </c>
      <c r="K20" s="69">
        <f t="shared" si="19"/>
        <v>1.4744073663533701</v>
      </c>
      <c r="L20" s="69">
        <v>0.128692</v>
      </c>
      <c r="M20" s="69">
        <v>0.17276899999999998</v>
      </c>
      <c r="N20" s="69">
        <v>0.15959299999999998</v>
      </c>
      <c r="O20" s="69">
        <v>0.29183739224199201</v>
      </c>
      <c r="P20" s="69">
        <f t="shared" si="20"/>
        <v>0.75289139224199197</v>
      </c>
      <c r="Q20" s="69">
        <v>0.252357</v>
      </c>
      <c r="R20" s="69">
        <v>0.29004599999999991</v>
      </c>
      <c r="S20" s="69">
        <v>-1.162399999999991E-2</v>
      </c>
      <c r="T20" s="69">
        <v>0.228245</v>
      </c>
      <c r="U20" s="69">
        <f t="shared" si="21"/>
        <v>0.75902400000000014</v>
      </c>
      <c r="V20" s="69">
        <v>0.204454</v>
      </c>
      <c r="W20" s="69">
        <v>0.19258499999999998</v>
      </c>
      <c r="X20" s="69">
        <v>0.24399999999999999</v>
      </c>
      <c r="Y20" s="69">
        <v>0.33010900000000004</v>
      </c>
      <c r="Z20" s="69">
        <f t="shared" si="22"/>
        <v>0.9711479999999999</v>
      </c>
    </row>
    <row r="21" spans="1:26" x14ac:dyDescent="0.3">
      <c r="A21" s="70" t="s">
        <v>130</v>
      </c>
      <c r="B21" s="70">
        <f t="shared" ref="B21:L21" si="23">+SUM(B18:B20)</f>
        <v>72.302297812874443</v>
      </c>
      <c r="C21" s="70">
        <f t="shared" si="23"/>
        <v>139.61982588954285</v>
      </c>
      <c r="D21" s="70">
        <f t="shared" si="23"/>
        <v>66.259876297582707</v>
      </c>
      <c r="E21" s="70">
        <f t="shared" si="23"/>
        <v>93.606999999999999</v>
      </c>
      <c r="F21" s="70">
        <f t="shared" si="23"/>
        <v>371.78899999999999</v>
      </c>
      <c r="G21" s="70">
        <f t="shared" si="23"/>
        <v>127.13214888900055</v>
      </c>
      <c r="H21" s="70">
        <f t="shared" si="23"/>
        <v>225.54974312245301</v>
      </c>
      <c r="I21" s="70">
        <f t="shared" si="23"/>
        <v>147.90715351015052</v>
      </c>
      <c r="J21" s="70">
        <f t="shared" si="23"/>
        <v>188.20632328005763</v>
      </c>
      <c r="K21" s="70">
        <f t="shared" si="23"/>
        <v>688.79536880166177</v>
      </c>
      <c r="L21" s="70">
        <f t="shared" si="23"/>
        <v>246.054022</v>
      </c>
      <c r="M21" s="70">
        <f t="shared" ref="M21:Y21" si="24">+SUM(M18:M20)</f>
        <v>608.33791699999995</v>
      </c>
      <c r="N21" s="70">
        <f t="shared" si="24"/>
        <v>374.147446</v>
      </c>
      <c r="O21" s="70">
        <f t="shared" si="24"/>
        <v>650.22240078713639</v>
      </c>
      <c r="P21" s="70">
        <f t="shared" si="24"/>
        <v>1878.7617857871364</v>
      </c>
      <c r="Q21" s="70">
        <f t="shared" si="24"/>
        <v>736.45944599999996</v>
      </c>
      <c r="R21" s="70">
        <f t="shared" si="24"/>
        <v>1031.188167</v>
      </c>
      <c r="S21" s="70">
        <f t="shared" si="24"/>
        <v>572.86932499999989</v>
      </c>
      <c r="T21" s="70">
        <f t="shared" si="24"/>
        <v>717.26329400000031</v>
      </c>
      <c r="U21" s="70">
        <f t="shared" si="24"/>
        <v>3057.7802320000001</v>
      </c>
      <c r="V21" s="70">
        <f t="shared" si="24"/>
        <v>909.98873900000012</v>
      </c>
      <c r="W21" s="70">
        <f t="shared" si="24"/>
        <v>1172.6340260000004</v>
      </c>
      <c r="X21" s="70">
        <f t="shared" si="24"/>
        <v>686.93441699999983</v>
      </c>
      <c r="Y21" s="70">
        <f t="shared" si="24"/>
        <v>769.62747200000001</v>
      </c>
      <c r="Z21" s="70">
        <f t="shared" ref="Z21" si="25">+SUM(Z18:Z20)</f>
        <v>3539.1846539999997</v>
      </c>
    </row>
    <row r="22" spans="1:26" x14ac:dyDescent="0.3">
      <c r="A22" s="71" t="s">
        <v>115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x14ac:dyDescent="0.3">
      <c r="A23" s="68" t="s">
        <v>125</v>
      </c>
      <c r="B23" s="69">
        <v>0</v>
      </c>
      <c r="C23" s="69">
        <v>0</v>
      </c>
      <c r="D23" s="69">
        <v>0</v>
      </c>
      <c r="E23" s="69">
        <v>0</v>
      </c>
      <c r="F23" s="69">
        <f t="shared" ref="F23:F25" si="26">+SUM(B23:E23)</f>
        <v>0</v>
      </c>
      <c r="G23" s="69">
        <v>0</v>
      </c>
      <c r="H23" s="69">
        <v>0</v>
      </c>
      <c r="I23" s="69">
        <v>0</v>
      </c>
      <c r="J23" s="69">
        <v>0</v>
      </c>
      <c r="K23" s="69">
        <f>+SUM(G23:J23)</f>
        <v>0</v>
      </c>
      <c r="L23" s="69">
        <v>0</v>
      </c>
      <c r="M23" s="69">
        <v>0</v>
      </c>
      <c r="N23" s="69">
        <v>0</v>
      </c>
      <c r="O23" s="69">
        <v>0.11232400000000001</v>
      </c>
      <c r="P23" s="69">
        <f>+SUM(L23:O23)</f>
        <v>0.11232400000000001</v>
      </c>
      <c r="Q23" s="69">
        <v>2.2540000000000377E-3</v>
      </c>
      <c r="R23" s="69">
        <v>0</v>
      </c>
      <c r="S23" s="69">
        <v>6.2100000000000002E-4</v>
      </c>
      <c r="T23" s="69">
        <v>4.9777999999999961E-2</v>
      </c>
      <c r="U23" s="69">
        <f t="shared" ref="U23:U25" si="27">+SUM(Q23:T23)</f>
        <v>5.2652999999999998E-2</v>
      </c>
      <c r="V23" s="69">
        <v>0</v>
      </c>
      <c r="W23" s="69">
        <v>0.43382999999999994</v>
      </c>
      <c r="X23" s="69">
        <v>0.16199400000000003</v>
      </c>
      <c r="Y23" s="69">
        <v>0.16401099999999996</v>
      </c>
      <c r="Z23" s="69">
        <f t="shared" ref="Z23:Z25" si="28">+SUM(V23:Y23)</f>
        <v>0.75983499999999982</v>
      </c>
    </row>
    <row r="24" spans="1:26" x14ac:dyDescent="0.3">
      <c r="A24" s="68" t="s">
        <v>126</v>
      </c>
      <c r="B24" s="69">
        <v>-9.8662456299999981</v>
      </c>
      <c r="C24" s="69">
        <v>9.926165509999997</v>
      </c>
      <c r="D24" s="69">
        <v>8.0120000001071556E-5</v>
      </c>
      <c r="E24" s="69">
        <v>0</v>
      </c>
      <c r="F24" s="69">
        <f t="shared" si="26"/>
        <v>0.06</v>
      </c>
      <c r="G24" s="69">
        <v>1.1641532182693481E-16</v>
      </c>
      <c r="H24" s="69">
        <v>-1.1831661399999995</v>
      </c>
      <c r="I24" s="69">
        <v>-0.33771343000000026</v>
      </c>
      <c r="J24" s="69">
        <v>-7.3896444519050416E-16</v>
      </c>
      <c r="K24" s="69">
        <f>+SUM(G24:J24)</f>
        <v>-1.5208795700000002</v>
      </c>
      <c r="L24" s="69">
        <v>6.5561000000000189E-2</v>
      </c>
      <c r="M24" s="69">
        <v>4.2025999999999994E-2</v>
      </c>
      <c r="N24" s="69">
        <v>-1.0000000000010001E-6</v>
      </c>
      <c r="O24" s="69">
        <v>-1.0000000001814113E-6</v>
      </c>
      <c r="P24" s="69">
        <f>+SUM(L24:O24)</f>
        <v>0.107585</v>
      </c>
      <c r="Q24" s="69">
        <v>-1.0000000000047749E-6</v>
      </c>
      <c r="R24" s="69">
        <v>6.1660000000000013E-2</v>
      </c>
      <c r="S24" s="69">
        <v>-1.0000000001042509E-6</v>
      </c>
      <c r="T24" s="69">
        <v>-1.0000000006584743E-6</v>
      </c>
      <c r="U24" s="69">
        <f t="shared" si="27"/>
        <v>6.165699999999924E-2</v>
      </c>
      <c r="V24" s="69">
        <v>0.25208000000000003</v>
      </c>
      <c r="W24" s="69">
        <v>0</v>
      </c>
      <c r="X24" s="69">
        <v>0</v>
      </c>
      <c r="Y24" s="69">
        <v>0</v>
      </c>
      <c r="Z24" s="69">
        <f t="shared" si="28"/>
        <v>0.25208000000000003</v>
      </c>
    </row>
    <row r="25" spans="1:26" x14ac:dyDescent="0.3">
      <c r="A25" s="68" t="s">
        <v>124</v>
      </c>
      <c r="B25" s="69">
        <v>15.630179789999998</v>
      </c>
      <c r="C25" s="69">
        <v>17.781752389999998</v>
      </c>
      <c r="D25" s="69">
        <v>19.332067820000006</v>
      </c>
      <c r="E25" s="69">
        <v>34.968999999999994</v>
      </c>
      <c r="F25" s="69">
        <f t="shared" si="26"/>
        <v>87.712999999999994</v>
      </c>
      <c r="G25" s="69">
        <v>18.698335149999998</v>
      </c>
      <c r="H25" s="69">
        <v>23.780755500000005</v>
      </c>
      <c r="I25" s="69">
        <v>26.565394349999995</v>
      </c>
      <c r="J25" s="69">
        <v>23.152133509999999</v>
      </c>
      <c r="K25" s="69">
        <f>+SUM(G25:J25)</f>
        <v>92.196618509999993</v>
      </c>
      <c r="L25" s="69">
        <v>11.341751</v>
      </c>
      <c r="M25" s="69">
        <v>11.445953000000005</v>
      </c>
      <c r="N25" s="69">
        <v>11.564306999999992</v>
      </c>
      <c r="O25" s="69">
        <v>11.671794000000006</v>
      </c>
      <c r="P25" s="69">
        <f>+SUM(L25:O25)</f>
        <v>46.023805000000003</v>
      </c>
      <c r="Q25" s="69">
        <v>13.866311</v>
      </c>
      <c r="R25" s="69">
        <v>13.391973</v>
      </c>
      <c r="S25" s="69">
        <v>13.437171000000003</v>
      </c>
      <c r="T25" s="69">
        <v>13.219676999999995</v>
      </c>
      <c r="U25" s="69">
        <f t="shared" si="27"/>
        <v>53.915132</v>
      </c>
      <c r="V25" s="69">
        <v>15.957944000000001</v>
      </c>
      <c r="W25" s="69">
        <v>15.101458999999997</v>
      </c>
      <c r="X25" s="69">
        <v>16.379000000000001</v>
      </c>
      <c r="Y25" s="69">
        <v>16.988773999999999</v>
      </c>
      <c r="Z25" s="69">
        <f t="shared" si="28"/>
        <v>64.427177</v>
      </c>
    </row>
    <row r="26" spans="1:26" x14ac:dyDescent="0.3">
      <c r="A26" s="70" t="s">
        <v>131</v>
      </c>
      <c r="B26" s="70">
        <f t="shared" ref="B26:L26" si="29">+SUM(B23:B25)</f>
        <v>5.7639341599999998</v>
      </c>
      <c r="C26" s="70">
        <f t="shared" si="29"/>
        <v>27.707917899999995</v>
      </c>
      <c r="D26" s="70">
        <f t="shared" si="29"/>
        <v>19.332147940000006</v>
      </c>
      <c r="E26" s="70">
        <f t="shared" si="29"/>
        <v>34.968999999999994</v>
      </c>
      <c r="F26" s="70">
        <f t="shared" si="29"/>
        <v>87.772999999999996</v>
      </c>
      <c r="G26" s="70">
        <f t="shared" si="29"/>
        <v>18.698335149999998</v>
      </c>
      <c r="H26" s="70">
        <f t="shared" si="29"/>
        <v>22.597589360000004</v>
      </c>
      <c r="I26" s="70">
        <f t="shared" si="29"/>
        <v>26.227680919999994</v>
      </c>
      <c r="J26" s="70">
        <f t="shared" si="29"/>
        <v>23.152133509999999</v>
      </c>
      <c r="K26" s="70">
        <f t="shared" si="29"/>
        <v>90.675738939999988</v>
      </c>
      <c r="L26" s="70">
        <f t="shared" si="29"/>
        <v>11.407312000000001</v>
      </c>
      <c r="M26" s="70">
        <f t="shared" ref="M26:N26" si="30">+SUM(M23:M25)</f>
        <v>11.487979000000005</v>
      </c>
      <c r="N26" s="70">
        <f t="shared" si="30"/>
        <v>11.564305999999993</v>
      </c>
      <c r="O26" s="70">
        <f>+SUM(O23:O25)</f>
        <v>11.784117000000006</v>
      </c>
      <c r="P26" s="70">
        <f t="shared" ref="P26:Y26" si="31">+SUM(P23:P25)</f>
        <v>46.243714000000004</v>
      </c>
      <c r="Q26" s="70">
        <f t="shared" si="31"/>
        <v>13.868563999999999</v>
      </c>
      <c r="R26" s="70">
        <f t="shared" si="31"/>
        <v>13.453633</v>
      </c>
      <c r="S26" s="70">
        <f t="shared" si="31"/>
        <v>13.437791000000002</v>
      </c>
      <c r="T26" s="70">
        <f t="shared" si="31"/>
        <v>13.269453999999994</v>
      </c>
      <c r="U26" s="70">
        <f t="shared" si="31"/>
        <v>54.029441999999996</v>
      </c>
      <c r="V26" s="70">
        <f t="shared" si="31"/>
        <v>16.210024000000001</v>
      </c>
      <c r="W26" s="70">
        <f t="shared" si="31"/>
        <v>15.535288999999997</v>
      </c>
      <c r="X26" s="70">
        <f t="shared" si="31"/>
        <v>16.540994000000001</v>
      </c>
      <c r="Y26" s="70">
        <f t="shared" si="31"/>
        <v>17.152784999999998</v>
      </c>
      <c r="Z26" s="70">
        <f t="shared" ref="Z26" si="32">+SUM(Z23:Z25)</f>
        <v>65.439092000000002</v>
      </c>
    </row>
    <row r="27" spans="1:26" x14ac:dyDescent="0.3">
      <c r="A27" s="73" t="s">
        <v>132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x14ac:dyDescent="0.3">
      <c r="A28" s="68" t="s">
        <v>125</v>
      </c>
      <c r="B28" s="69">
        <f>+B3+B8+B13+B18+B23</f>
        <v>176.19037234366033</v>
      </c>
      <c r="C28" s="69">
        <f t="shared" ref="C28:E28" si="33">+C3+C8+C13+C18+C23</f>
        <v>186.87338611470656</v>
      </c>
      <c r="D28" s="69">
        <f t="shared" si="33"/>
        <v>155.15924154163292</v>
      </c>
      <c r="E28" s="69">
        <f t="shared" si="33"/>
        <v>206.32499999999999</v>
      </c>
      <c r="F28" s="69">
        <f t="shared" ref="F28:I30" si="34">+F3+F8+F13+F18+F23</f>
        <v>724.54799999999977</v>
      </c>
      <c r="G28" s="69">
        <f t="shared" ref="G28:K28" si="35">+G3+G8+G13+G18+G23</f>
        <v>200.51497636948517</v>
      </c>
      <c r="H28" s="69">
        <f t="shared" si="35"/>
        <v>217.21749638310243</v>
      </c>
      <c r="I28" s="69">
        <f t="shared" si="35"/>
        <v>199.1528733328457</v>
      </c>
      <c r="J28" s="69">
        <f t="shared" si="35"/>
        <v>266.29414280926579</v>
      </c>
      <c r="K28" s="69">
        <f t="shared" si="35"/>
        <v>883.17948889469915</v>
      </c>
      <c r="L28" s="69">
        <f>+L3+L8+L13+L18+L23</f>
        <v>248.904867</v>
      </c>
      <c r="M28" s="69">
        <f t="shared" ref="M28:P30" si="36">+M3+M8+M13+M18+M23</f>
        <v>253.65375599999999</v>
      </c>
      <c r="N28" s="69">
        <f t="shared" si="36"/>
        <v>230.38118100000003</v>
      </c>
      <c r="O28" s="69">
        <f>+O3+O8+O13+O18+O23</f>
        <v>328.72476362928313</v>
      </c>
      <c r="P28" s="69">
        <f t="shared" ref="P28" si="37">+P3+P8+P13+P18+P23</f>
        <v>1061.6645676292831</v>
      </c>
      <c r="Q28" s="69">
        <f>+Q3+Q8+Q13+Q18+Q23</f>
        <v>366.06318199999998</v>
      </c>
      <c r="R28" s="69">
        <f>+R3+R8+R13+R18+R23</f>
        <v>399.63450100000006</v>
      </c>
      <c r="S28" s="69">
        <f>+S3+S8+S13+S18+S23</f>
        <v>344.76476899999989</v>
      </c>
      <c r="T28" s="69">
        <f>+T3+T8+T13+T18+T23</f>
        <v>458.55345299999993</v>
      </c>
      <c r="U28" s="69">
        <f t="shared" ref="U28:U31" si="38">+SUM(Q28:T28)</f>
        <v>1569.015905</v>
      </c>
      <c r="V28" s="69">
        <f>+V3+V8+V13+V18+V23</f>
        <v>438.979468</v>
      </c>
      <c r="W28" s="69">
        <f>+W3+W8+W13+W18+W23</f>
        <v>548.75858299999993</v>
      </c>
      <c r="X28" s="69">
        <f>+X3+X8+X13+X18+X23</f>
        <v>499.91783199999981</v>
      </c>
      <c r="Y28" s="69">
        <f>+Y3+Y8+Y13+Y18+Y23</f>
        <v>710.84666300000004</v>
      </c>
      <c r="Z28" s="69">
        <f t="shared" ref="Z28:Z31" si="39">+SUM(V28:Y28)</f>
        <v>2198.5025459999997</v>
      </c>
    </row>
    <row r="29" spans="1:26" x14ac:dyDescent="0.3">
      <c r="A29" s="68" t="s">
        <v>126</v>
      </c>
      <c r="B29" s="69">
        <f>+B4+B9+B14+B19+B24</f>
        <v>1184.1696360966496</v>
      </c>
      <c r="C29" s="69">
        <f>+C4+C9+C14+C19+C24</f>
        <v>2247.8230065407301</v>
      </c>
      <c r="D29" s="69">
        <f t="shared" ref="C29:K30" si="40">+D4+D9+D14+D19+D24</f>
        <v>1109.670764165616</v>
      </c>
      <c r="E29" s="69">
        <f t="shared" si="40"/>
        <v>2089.5002020132897</v>
      </c>
      <c r="F29" s="69">
        <f t="shared" si="34"/>
        <v>6631.1636088162868</v>
      </c>
      <c r="G29" s="69">
        <f t="shared" si="34"/>
        <v>1668.158760375311</v>
      </c>
      <c r="H29" s="69">
        <f t="shared" si="34"/>
        <v>2857.4603066872805</v>
      </c>
      <c r="I29" s="69">
        <f t="shared" si="34"/>
        <v>1430.3650503460012</v>
      </c>
      <c r="J29" s="69">
        <f>+J4+J9+J14+J19+J24</f>
        <v>2562.7353566959787</v>
      </c>
      <c r="K29" s="69">
        <f>+K4+K9+K14+K19+K24</f>
        <v>8518.7194741045714</v>
      </c>
      <c r="L29" s="69">
        <f>+L4+L9+L14+L19+L24</f>
        <v>2427.5768009999997</v>
      </c>
      <c r="M29" s="69">
        <f t="shared" si="36"/>
        <v>4056.4008320000003</v>
      </c>
      <c r="N29" s="69">
        <f t="shared" si="36"/>
        <v>2325.5201999999995</v>
      </c>
      <c r="O29" s="69">
        <f t="shared" si="36"/>
        <v>3927.4337353428591</v>
      </c>
      <c r="P29" s="69">
        <f>+P4+P9+P14+P19+P24</f>
        <v>12736.931568342858</v>
      </c>
      <c r="Q29" s="69">
        <f t="shared" ref="Q29:R29" si="41">+Q4+Q9+Q14+Q19+Q24</f>
        <v>3879.0269510000003</v>
      </c>
      <c r="R29" s="69">
        <f t="shared" si="41"/>
        <v>5756.7418690000004</v>
      </c>
      <c r="S29" s="69">
        <f t="shared" ref="S29:V29" si="42">+S4+S9+S14+S19+S24</f>
        <v>3386.2591299999999</v>
      </c>
      <c r="T29" s="69">
        <f t="shared" si="42"/>
        <v>5292.3158109999995</v>
      </c>
      <c r="U29" s="69">
        <f t="shared" si="38"/>
        <v>18314.343761</v>
      </c>
      <c r="V29" s="69">
        <f t="shared" si="42"/>
        <v>5150.4517300000007</v>
      </c>
      <c r="W29" s="69">
        <f t="shared" ref="W29:X29" si="43">+W4+W9+W14+W19+W24</f>
        <v>7611.9205880000009</v>
      </c>
      <c r="X29" s="69">
        <f t="shared" si="43"/>
        <v>4747.0758529999994</v>
      </c>
      <c r="Y29" s="69">
        <f t="shared" ref="Y29" si="44">+Y4+Y9+Y14+Y19+Y24</f>
        <v>7152.0525969999999</v>
      </c>
      <c r="Z29" s="69">
        <f t="shared" si="39"/>
        <v>24661.500767999998</v>
      </c>
    </row>
    <row r="30" spans="1:26" x14ac:dyDescent="0.3">
      <c r="A30" s="68" t="s">
        <v>124</v>
      </c>
      <c r="B30" s="69">
        <f>+B5+B10+B15+B20+B25</f>
        <v>21.039458455427926</v>
      </c>
      <c r="C30" s="69">
        <f t="shared" si="40"/>
        <v>20.433973529782108</v>
      </c>
      <c r="D30" s="69">
        <f t="shared" si="40"/>
        <v>20.955568014790025</v>
      </c>
      <c r="E30" s="69">
        <f t="shared" si="40"/>
        <v>36.916999999999994</v>
      </c>
      <c r="F30" s="69">
        <f t="shared" si="34"/>
        <v>99.34600000000006</v>
      </c>
      <c r="G30" s="69">
        <f t="shared" si="34"/>
        <v>21.79214755871422</v>
      </c>
      <c r="H30" s="69">
        <f t="shared" si="34"/>
        <v>27.570484135449426</v>
      </c>
      <c r="I30" s="69">
        <f t="shared" si="34"/>
        <v>30.926083916450086</v>
      </c>
      <c r="J30" s="69">
        <f t="shared" si="40"/>
        <v>30.540493329214861</v>
      </c>
      <c r="K30" s="69">
        <f t="shared" si="40"/>
        <v>110.82920893982859</v>
      </c>
      <c r="L30" s="69">
        <f>+L5+L10+L15+L20+L25</f>
        <v>13.63738</v>
      </c>
      <c r="M30" s="69">
        <f t="shared" si="36"/>
        <v>12.395193000000004</v>
      </c>
      <c r="N30" s="69">
        <f t="shared" si="36"/>
        <v>13.462912999999991</v>
      </c>
      <c r="O30" s="69">
        <f t="shared" si="36"/>
        <v>14.415698156428919</v>
      </c>
      <c r="P30" s="69">
        <f t="shared" si="36"/>
        <v>53.911184156428916</v>
      </c>
      <c r="Q30" s="69">
        <f t="shared" ref="Q30:R30" si="45">+Q5+Q10+Q15+Q20+Q25</f>
        <v>24.025022999999997</v>
      </c>
      <c r="R30" s="69">
        <f t="shared" si="45"/>
        <v>30.668664</v>
      </c>
      <c r="S30" s="69">
        <f t="shared" ref="S30:V30" si="46">+S5+S10+S15+S20+S25</f>
        <v>17.629173000000002</v>
      </c>
      <c r="T30" s="69">
        <f t="shared" si="46"/>
        <v>3.3164539999999931</v>
      </c>
      <c r="U30" s="69">
        <f t="shared" si="38"/>
        <v>75.639313999999985</v>
      </c>
      <c r="V30" s="69">
        <f t="shared" si="46"/>
        <v>18.547124</v>
      </c>
      <c r="W30" s="69">
        <f t="shared" ref="W30:X30" si="47">+W5+W10+W15+W20+W25</f>
        <v>15.643880999999997</v>
      </c>
      <c r="X30" s="69">
        <f t="shared" si="47"/>
        <v>19.027387000000001</v>
      </c>
      <c r="Y30" s="69">
        <f t="shared" ref="Y30" si="48">+Y5+Y10+Y15+Y20+Y25</f>
        <v>22.591764999999999</v>
      </c>
      <c r="Z30" s="69">
        <f t="shared" si="39"/>
        <v>75.81015699999999</v>
      </c>
    </row>
    <row r="31" spans="1:26" x14ac:dyDescent="0.3">
      <c r="A31" s="68" t="s">
        <v>116</v>
      </c>
      <c r="B31" s="69">
        <v>-22.899294443655901</v>
      </c>
      <c r="C31" s="69">
        <v>-53.411477402775446</v>
      </c>
      <c r="D31" s="69">
        <v>-36.049272103591342</v>
      </c>
      <c r="E31" s="69">
        <v>-41.015511421426957</v>
      </c>
      <c r="F31" s="69">
        <v>-153.37555537144959</v>
      </c>
      <c r="G31" s="69">
        <v>-57.754973143021502</v>
      </c>
      <c r="H31" s="69">
        <v>-69.830423872527476</v>
      </c>
      <c r="I31" s="69">
        <v>-67.871493091670615</v>
      </c>
      <c r="J31" s="69">
        <v>-61.420581879681734</v>
      </c>
      <c r="K31" s="69">
        <v>-256.8774719869013</v>
      </c>
      <c r="L31" s="69">
        <v>-50.782471000000001</v>
      </c>
      <c r="M31" s="69">
        <v>-79.795263999999989</v>
      </c>
      <c r="N31" s="78">
        <v>-69.023525000000006</v>
      </c>
      <c r="O31" s="69">
        <v>-34.88575800000001</v>
      </c>
      <c r="P31" s="69">
        <f>+SUM(L31:O31)</f>
        <v>-234.48701800000001</v>
      </c>
      <c r="Q31" s="69">
        <v>-65.162197000000006</v>
      </c>
      <c r="R31" s="69">
        <v>-92.000874999999979</v>
      </c>
      <c r="S31" s="69">
        <v>-80.504357000000013</v>
      </c>
      <c r="T31" s="69">
        <v>-121.876628</v>
      </c>
      <c r="U31" s="69">
        <f t="shared" si="38"/>
        <v>-359.54405700000001</v>
      </c>
      <c r="V31" s="69">
        <v>-85.521285000000006</v>
      </c>
      <c r="W31" s="69">
        <v>-105.02746899999998</v>
      </c>
      <c r="X31" s="69">
        <v>-118.79124600000002</v>
      </c>
      <c r="Y31" s="69">
        <v>-188.14312199999998</v>
      </c>
      <c r="Z31" s="69">
        <f t="shared" si="39"/>
        <v>-497.48312199999998</v>
      </c>
    </row>
    <row r="32" spans="1:26" x14ac:dyDescent="0.3">
      <c r="A32" s="75" t="s">
        <v>133</v>
      </c>
      <c r="B32" s="69"/>
      <c r="C32" s="69"/>
      <c r="D32" s="69"/>
      <c r="E32" s="69"/>
      <c r="F32" s="69"/>
      <c r="G32" s="69">
        <v>-37.628226366391807</v>
      </c>
      <c r="H32" s="69">
        <v>-65.471240440088152</v>
      </c>
      <c r="I32" s="69">
        <v>-46.640491815062646</v>
      </c>
      <c r="J32" s="69">
        <v>-58.582274263167868</v>
      </c>
      <c r="K32" s="69">
        <v>-208.32223288471047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3">
      <c r="A33" s="35" t="s">
        <v>134</v>
      </c>
      <c r="B33" s="44">
        <f>+SUM(B28:B31)</f>
        <v>1358.5001724520819</v>
      </c>
      <c r="C33" s="44">
        <f>+SUM(C28:C31)</f>
        <v>2401.7188887824436</v>
      </c>
      <c r="D33" s="44">
        <f>+SUM(D28:D31)</f>
        <v>1249.7363016184474</v>
      </c>
      <c r="E33" s="44">
        <f>+SUM(E28:E31)</f>
        <v>2291.7266905918623</v>
      </c>
      <c r="F33" s="44">
        <f>+SUM(F28:F32)</f>
        <v>7301.682053444837</v>
      </c>
      <c r="G33" s="44">
        <f t="shared" ref="G33:J33" si="49">+SUM(G28:G32)</f>
        <v>1795.0826847940971</v>
      </c>
      <c r="H33" s="44">
        <f>+SUM(H28:H32)</f>
        <v>2966.9466228932174</v>
      </c>
      <c r="I33" s="44">
        <f t="shared" si="49"/>
        <v>1545.9320226885638</v>
      </c>
      <c r="J33" s="44">
        <f t="shared" si="49"/>
        <v>2739.5671366916094</v>
      </c>
      <c r="K33" s="44">
        <f t="shared" ref="K33:O33" si="50">+SUM(K28:K32)</f>
        <v>9047.5284670674882</v>
      </c>
      <c r="L33" s="44">
        <f t="shared" si="50"/>
        <v>2639.336577</v>
      </c>
      <c r="M33" s="44">
        <f t="shared" si="50"/>
        <v>4242.6545169999999</v>
      </c>
      <c r="N33" s="44">
        <f>+SUM(N28:N32)</f>
        <v>2500.3407689999995</v>
      </c>
      <c r="O33" s="44">
        <f t="shared" si="50"/>
        <v>4235.6884391285712</v>
      </c>
      <c r="P33" s="44">
        <f t="shared" ref="P33:Y33" si="51">+SUM(P28:P32)</f>
        <v>13618.020302128569</v>
      </c>
      <c r="Q33" s="44">
        <f t="shared" si="51"/>
        <v>4203.9529590000011</v>
      </c>
      <c r="R33" s="44">
        <f t="shared" si="51"/>
        <v>6095.0441590000009</v>
      </c>
      <c r="S33" s="44">
        <f t="shared" si="51"/>
        <v>3668.1487149999998</v>
      </c>
      <c r="T33" s="44">
        <f t="shared" si="51"/>
        <v>5632.3090899999988</v>
      </c>
      <c r="U33" s="44">
        <f t="shared" si="51"/>
        <v>19599.454923000001</v>
      </c>
      <c r="V33" s="44">
        <f t="shared" si="51"/>
        <v>5522.4570370000001</v>
      </c>
      <c r="W33" s="44">
        <f t="shared" si="51"/>
        <v>8071.295583000001</v>
      </c>
      <c r="X33" s="44">
        <f t="shared" si="51"/>
        <v>5147.2298259999998</v>
      </c>
      <c r="Y33" s="44">
        <f t="shared" si="51"/>
        <v>7697.3479029999999</v>
      </c>
      <c r="Z33" s="44">
        <f t="shared" ref="Z33" si="52">+SUM(Z28:Z32)</f>
        <v>26438.330348999996</v>
      </c>
    </row>
    <row r="34" spans="1:26" s="18" customFormat="1" x14ac:dyDescent="0.3"/>
    <row r="35" spans="1:26" s="18" customFormat="1" x14ac:dyDescent="0.3">
      <c r="A35" s="83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3"/>
      <c r="O35" s="83"/>
      <c r="P35" s="79"/>
      <c r="Q35" s="79"/>
      <c r="R35" s="53"/>
      <c r="S35" s="53"/>
      <c r="T35" s="53"/>
      <c r="U35" s="53"/>
      <c r="V35" s="53"/>
      <c r="W35" s="53"/>
      <c r="Z35" s="53"/>
    </row>
    <row r="36" spans="1:26" s="18" customFormat="1" x14ac:dyDescent="0.3">
      <c r="A36" s="83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3"/>
      <c r="O36" s="83"/>
      <c r="P36" s="85"/>
      <c r="Q36" s="85"/>
      <c r="R36" s="19"/>
      <c r="S36" s="19"/>
      <c r="T36" s="19"/>
      <c r="U36" s="19"/>
      <c r="V36" s="19"/>
      <c r="W36" s="19"/>
      <c r="Z36" s="19"/>
    </row>
    <row r="37" spans="1:26" s="18" customFormat="1" x14ac:dyDescent="0.3">
      <c r="A37" s="83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83"/>
      <c r="O37" s="83"/>
      <c r="P37" s="79"/>
      <c r="Q37" s="79"/>
      <c r="R37" s="53"/>
      <c r="S37" s="53"/>
      <c r="T37" s="53"/>
      <c r="U37" s="53"/>
      <c r="V37" s="53"/>
      <c r="W37" s="53"/>
      <c r="Z37" s="53"/>
    </row>
    <row r="38" spans="1:26" s="15" customFormat="1" x14ac:dyDescent="0.3">
      <c r="A38" s="83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3"/>
      <c r="O38" s="83"/>
      <c r="P38" s="87"/>
      <c r="Q38" s="87"/>
      <c r="R38" s="16"/>
      <c r="S38" s="16"/>
      <c r="T38" s="16"/>
      <c r="U38" s="16"/>
      <c r="V38" s="16"/>
      <c r="W38" s="16"/>
      <c r="Z38" s="16"/>
    </row>
    <row r="39" spans="1:26" s="15" customFormat="1" x14ac:dyDescent="0.3">
      <c r="A39" s="83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3"/>
      <c r="O39" s="83"/>
      <c r="P39" s="87"/>
      <c r="Q39" s="87"/>
      <c r="R39" s="16"/>
      <c r="S39" s="16"/>
      <c r="T39" s="16"/>
      <c r="U39" s="16"/>
      <c r="V39" s="16"/>
      <c r="W39" s="16"/>
      <c r="Z39" s="16"/>
    </row>
    <row r="40" spans="1:26" s="15" customFormat="1" x14ac:dyDescent="0.3">
      <c r="A40" s="83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3"/>
      <c r="O40" s="83"/>
      <c r="P40" s="87"/>
      <c r="Q40" s="87"/>
      <c r="R40" s="16"/>
      <c r="S40" s="16"/>
      <c r="T40" s="16"/>
      <c r="U40" s="16"/>
      <c r="V40" s="16"/>
      <c r="W40" s="16"/>
      <c r="Z40" s="16"/>
    </row>
    <row r="41" spans="1:26" s="15" customFormat="1" x14ac:dyDescent="0.3">
      <c r="A41" s="83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3"/>
      <c r="N41" s="83"/>
      <c r="O41" s="83"/>
      <c r="P41" s="87"/>
      <c r="Q41" s="87"/>
      <c r="R41" s="16"/>
      <c r="S41" s="16"/>
      <c r="T41" s="16"/>
      <c r="U41" s="16"/>
      <c r="V41" s="16"/>
      <c r="W41" s="16"/>
      <c r="Z41" s="16"/>
    </row>
    <row r="42" spans="1:26" s="15" customFormat="1" x14ac:dyDescent="0.3">
      <c r="A42" s="83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3"/>
      <c r="N42" s="83"/>
      <c r="O42" s="83"/>
      <c r="P42" s="87"/>
      <c r="Q42" s="87"/>
      <c r="R42" s="16"/>
      <c r="S42" s="16"/>
      <c r="T42" s="16"/>
      <c r="U42" s="16"/>
      <c r="V42" s="16"/>
      <c r="W42" s="16"/>
      <c r="Z42" s="16"/>
    </row>
    <row r="43" spans="1:26" s="15" customFormat="1" x14ac:dyDescent="0.3">
      <c r="A43" s="83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3"/>
      <c r="N43" s="83"/>
      <c r="O43" s="83"/>
      <c r="P43" s="87"/>
      <c r="Q43" s="87"/>
      <c r="R43" s="16"/>
      <c r="S43" s="16"/>
      <c r="T43" s="16"/>
      <c r="U43" s="16"/>
      <c r="V43" s="16"/>
      <c r="W43" s="16"/>
      <c r="Z43" s="16"/>
    </row>
    <row r="44" spans="1:26" s="15" customFormat="1" x14ac:dyDescent="0.3">
      <c r="A44" s="83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3"/>
      <c r="N44" s="83"/>
      <c r="O44" s="83"/>
      <c r="P44" s="87"/>
      <c r="Q44" s="87"/>
      <c r="R44" s="16"/>
      <c r="S44" s="16"/>
      <c r="T44" s="16"/>
      <c r="U44" s="16"/>
      <c r="V44" s="16"/>
      <c r="W44" s="16"/>
      <c r="Z44" s="16"/>
    </row>
    <row r="45" spans="1:26" s="15" customFormat="1" x14ac:dyDescent="0.3">
      <c r="A45" s="83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3"/>
      <c r="N45" s="83"/>
      <c r="O45" s="83"/>
      <c r="P45" s="87"/>
      <c r="Q45" s="87"/>
      <c r="R45" s="16"/>
      <c r="S45" s="16"/>
      <c r="T45" s="16"/>
      <c r="U45" s="16"/>
      <c r="V45" s="16"/>
      <c r="W45" s="16"/>
      <c r="Z45" s="16"/>
    </row>
    <row r="46" spans="1:26" s="15" customFormat="1" x14ac:dyDescent="0.3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1:26" s="15" customFormat="1" x14ac:dyDescent="0.3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1:26" s="15" customFormat="1" x14ac:dyDescent="0.3">
      <c r="A48" s="8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83"/>
      <c r="N48" s="83"/>
      <c r="O48" s="83"/>
      <c r="P48" s="93"/>
      <c r="Q48" s="93"/>
      <c r="R48" s="17"/>
      <c r="S48" s="17"/>
      <c r="T48" s="17"/>
      <c r="U48" s="17"/>
      <c r="V48" s="17"/>
      <c r="W48" s="17"/>
      <c r="Z48" s="17"/>
    </row>
    <row r="49" spans="1:26" s="15" customFormat="1" x14ac:dyDescent="0.3">
      <c r="A49" s="8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83"/>
      <c r="N49" s="83"/>
      <c r="O49" s="83"/>
      <c r="P49" s="93"/>
      <c r="Q49" s="93"/>
      <c r="R49" s="17"/>
      <c r="S49" s="17"/>
      <c r="T49" s="17"/>
      <c r="U49" s="17"/>
      <c r="V49" s="17"/>
      <c r="W49" s="17"/>
      <c r="Z49" s="17"/>
    </row>
    <row r="50" spans="1:26" s="15" customFormat="1" x14ac:dyDescent="0.3">
      <c r="A50" s="8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83"/>
      <c r="N50" s="83"/>
      <c r="O50" s="83"/>
      <c r="P50" s="93"/>
      <c r="Q50" s="93"/>
      <c r="R50" s="17"/>
      <c r="S50" s="17"/>
      <c r="T50" s="17"/>
      <c r="U50" s="17"/>
      <c r="V50" s="17"/>
      <c r="W50" s="17"/>
      <c r="Z50" s="17"/>
    </row>
    <row r="51" spans="1:26" s="15" customFormat="1" x14ac:dyDescent="0.3">
      <c r="A51" s="8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83"/>
      <c r="N51" s="83"/>
      <c r="O51" s="83"/>
      <c r="P51" s="93"/>
      <c r="Q51" s="93"/>
      <c r="R51" s="17"/>
      <c r="S51" s="17"/>
      <c r="T51" s="17"/>
      <c r="U51" s="17"/>
      <c r="V51" s="17"/>
      <c r="W51" s="17"/>
      <c r="Z51" s="17"/>
    </row>
    <row r="52" spans="1:26" s="15" customFormat="1" x14ac:dyDescent="0.3">
      <c r="A52" s="8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83"/>
      <c r="N52" s="83"/>
      <c r="O52" s="83"/>
      <c r="P52" s="93"/>
      <c r="Q52" s="93"/>
      <c r="R52" s="17"/>
      <c r="S52" s="17"/>
      <c r="T52" s="17"/>
      <c r="U52" s="17"/>
      <c r="V52" s="17"/>
      <c r="W52" s="17"/>
      <c r="Z52" s="17"/>
    </row>
    <row r="53" spans="1:26" s="15" customFormat="1" x14ac:dyDescent="0.3">
      <c r="A53" s="8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83"/>
      <c r="N53" s="83"/>
      <c r="O53" s="83"/>
      <c r="P53" s="93"/>
      <c r="Q53" s="93"/>
      <c r="R53" s="17"/>
      <c r="S53" s="17"/>
      <c r="T53" s="17"/>
      <c r="U53" s="17"/>
      <c r="V53" s="17"/>
      <c r="W53" s="17"/>
      <c r="Z53" s="17"/>
    </row>
    <row r="54" spans="1:26" s="15" customFormat="1" x14ac:dyDescent="0.3">
      <c r="A54" s="8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83"/>
      <c r="N54" s="83"/>
      <c r="O54" s="83"/>
      <c r="P54" s="93"/>
      <c r="Q54" s="93"/>
      <c r="R54" s="17"/>
      <c r="S54" s="17"/>
      <c r="T54" s="17"/>
      <c r="U54" s="17"/>
      <c r="V54" s="17"/>
      <c r="W54" s="17"/>
      <c r="Z54" s="17"/>
    </row>
    <row r="55" spans="1:26" s="15" customFormat="1" x14ac:dyDescent="0.3">
      <c r="A55" s="8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83"/>
      <c r="N55" s="83"/>
      <c r="O55" s="83"/>
      <c r="P55" s="93"/>
      <c r="Q55" s="93"/>
      <c r="R55" s="17"/>
      <c r="S55" s="17"/>
      <c r="T55" s="17"/>
      <c r="U55" s="17"/>
      <c r="V55" s="17"/>
      <c r="W55" s="17"/>
      <c r="Z55" s="17"/>
    </row>
    <row r="56" spans="1:26" s="15" customFormat="1" x14ac:dyDescent="0.3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</row>
    <row r="57" spans="1:26" s="15" customFormat="1" x14ac:dyDescent="0.3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</row>
    <row r="58" spans="1:26" s="15" customFormat="1" x14ac:dyDescent="0.3">
      <c r="A58" s="94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3"/>
      <c r="N58" s="83"/>
      <c r="O58" s="83"/>
      <c r="P58" s="87"/>
      <c r="Q58" s="87"/>
      <c r="R58" s="16"/>
      <c r="S58" s="16"/>
      <c r="T58" s="16"/>
      <c r="U58" s="16"/>
      <c r="V58" s="16"/>
      <c r="W58" s="16"/>
      <c r="Z58" s="16"/>
    </row>
    <row r="59" spans="1:26" s="15" customFormat="1" x14ac:dyDescent="0.3">
      <c r="A59" s="94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3"/>
      <c r="N59" s="83"/>
      <c r="O59" s="83"/>
      <c r="P59" s="87"/>
      <c r="Q59" s="87"/>
      <c r="R59" s="16"/>
      <c r="S59" s="16"/>
      <c r="T59" s="16"/>
      <c r="U59" s="16"/>
      <c r="V59" s="16"/>
      <c r="W59" s="16"/>
      <c r="Z59" s="16"/>
    </row>
    <row r="60" spans="1:26" s="15" customFormat="1" x14ac:dyDescent="0.3">
      <c r="A60" s="94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3"/>
      <c r="N60" s="83"/>
      <c r="O60" s="83"/>
      <c r="P60" s="87"/>
      <c r="Q60" s="87"/>
      <c r="R60" s="16"/>
      <c r="S60" s="16"/>
      <c r="T60" s="16"/>
      <c r="U60" s="16"/>
      <c r="V60" s="16"/>
      <c r="W60" s="16"/>
      <c r="Z60" s="16"/>
    </row>
    <row r="61" spans="1:26" s="15" customFormat="1" x14ac:dyDescent="0.3">
      <c r="A61" s="94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3"/>
      <c r="N61" s="83"/>
      <c r="O61" s="83"/>
      <c r="P61" s="87"/>
      <c r="Q61" s="87"/>
      <c r="R61" s="16"/>
      <c r="S61" s="16"/>
      <c r="T61" s="16"/>
      <c r="U61" s="16"/>
      <c r="V61" s="16"/>
      <c r="W61" s="16"/>
      <c r="Z61" s="16"/>
    </row>
    <row r="62" spans="1:26" s="15" customFormat="1" x14ac:dyDescent="0.3">
      <c r="A62" s="95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3"/>
      <c r="N62" s="83"/>
      <c r="O62" s="83"/>
      <c r="P62" s="87"/>
      <c r="Q62" s="87"/>
      <c r="R62" s="16"/>
      <c r="S62" s="16"/>
      <c r="T62" s="16"/>
      <c r="U62" s="16"/>
      <c r="V62" s="16"/>
      <c r="W62" s="16"/>
      <c r="Z62" s="16"/>
    </row>
    <row r="63" spans="1:26" s="15" customFormat="1" x14ac:dyDescent="0.3">
      <c r="A63" s="9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3"/>
      <c r="N63" s="83"/>
      <c r="O63" s="83"/>
      <c r="P63" s="87"/>
      <c r="Q63" s="87"/>
      <c r="R63" s="16"/>
      <c r="S63" s="16"/>
      <c r="T63" s="16"/>
      <c r="U63" s="16"/>
      <c r="V63" s="16"/>
      <c r="W63" s="16"/>
      <c r="Z63" s="16"/>
    </row>
    <row r="64" spans="1:26" s="15" customFormat="1" x14ac:dyDescent="0.3">
      <c r="A64" s="83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3"/>
      <c r="N64" s="83"/>
      <c r="O64" s="83"/>
      <c r="P64" s="87"/>
      <c r="Q64" s="87"/>
      <c r="R64" s="16"/>
      <c r="S64" s="16"/>
      <c r="T64" s="16"/>
      <c r="U64" s="16"/>
      <c r="V64" s="16"/>
      <c r="W64" s="16"/>
      <c r="Z64" s="16"/>
    </row>
    <row r="65" spans="1:26" s="15" customFormat="1" x14ac:dyDescent="0.3">
      <c r="A65" s="94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3"/>
      <c r="N65" s="83"/>
      <c r="O65" s="83"/>
      <c r="P65" s="87"/>
      <c r="Q65" s="87"/>
      <c r="R65" s="16"/>
      <c r="S65" s="16"/>
      <c r="T65" s="16"/>
      <c r="U65" s="16"/>
      <c r="V65" s="16"/>
      <c r="W65" s="16"/>
      <c r="Z65" s="16"/>
    </row>
    <row r="66" spans="1:26" s="15" customFormat="1" x14ac:dyDescent="0.3">
      <c r="A66" s="94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3"/>
      <c r="N66" s="83"/>
      <c r="O66" s="83"/>
      <c r="P66" s="87"/>
      <c r="Q66" s="87"/>
      <c r="R66" s="16"/>
      <c r="S66" s="16"/>
      <c r="T66" s="16"/>
      <c r="U66" s="16"/>
      <c r="V66" s="16"/>
      <c r="W66" s="16"/>
      <c r="Z66" s="16"/>
    </row>
    <row r="67" spans="1:26" s="15" customFormat="1" x14ac:dyDescent="0.3">
      <c r="A67" s="94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3"/>
      <c r="N67" s="83"/>
      <c r="O67" s="83"/>
      <c r="P67" s="87"/>
      <c r="Q67" s="87"/>
      <c r="R67" s="16"/>
      <c r="S67" s="16"/>
      <c r="T67" s="16"/>
      <c r="U67" s="16"/>
      <c r="V67" s="16"/>
      <c r="W67" s="16"/>
      <c r="Z67" s="16"/>
    </row>
    <row r="68" spans="1:26" s="15" customFormat="1" x14ac:dyDescent="0.3">
      <c r="A68" s="94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3"/>
      <c r="N68" s="83"/>
      <c r="O68" s="83"/>
      <c r="P68" s="87"/>
      <c r="Q68" s="87"/>
      <c r="R68" s="16"/>
      <c r="S68" s="16"/>
      <c r="T68" s="16"/>
      <c r="U68" s="16"/>
      <c r="V68" s="16"/>
      <c r="W68" s="16"/>
      <c r="Z68" s="16"/>
    </row>
    <row r="69" spans="1:26" s="15" customFormat="1" x14ac:dyDescent="0.3">
      <c r="A69" s="95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3"/>
      <c r="N69" s="83"/>
      <c r="O69" s="83"/>
      <c r="P69" s="87"/>
      <c r="Q69" s="87"/>
      <c r="R69" s="16"/>
      <c r="S69" s="16"/>
      <c r="T69" s="16"/>
      <c r="U69" s="16"/>
      <c r="V69" s="16"/>
      <c r="W69" s="16"/>
      <c r="Z69" s="16"/>
    </row>
    <row r="70" spans="1:26" s="15" customFormat="1" x14ac:dyDescent="0.3">
      <c r="A70" s="96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3"/>
      <c r="N70" s="83"/>
      <c r="O70" s="83"/>
      <c r="P70" s="87"/>
      <c r="Q70" s="87"/>
      <c r="R70" s="16"/>
      <c r="S70" s="16"/>
      <c r="T70" s="16"/>
      <c r="U70" s="16"/>
      <c r="V70" s="16"/>
      <c r="W70" s="16"/>
      <c r="Z70" s="16"/>
    </row>
    <row r="71" spans="1:26" s="15" customFormat="1" x14ac:dyDescent="0.3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26" s="15" customFormat="1" x14ac:dyDescent="0.3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  <row r="73" spans="1:26" s="15" customFormat="1" x14ac:dyDescent="0.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</row>
    <row r="74" spans="1:26" s="15" customFormat="1" x14ac:dyDescent="0.3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</row>
    <row r="75" spans="1:26" s="15" customFormat="1" x14ac:dyDescent="0.3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</row>
    <row r="76" spans="1:26" s="15" customFormat="1" x14ac:dyDescent="0.3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</row>
    <row r="77" spans="1:26" s="15" customFormat="1" x14ac:dyDescent="0.3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</row>
    <row r="78" spans="1:26" s="15" customFormat="1" x14ac:dyDescent="0.3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</row>
    <row r="79" spans="1:26" s="15" customFormat="1" x14ac:dyDescent="0.3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</row>
    <row r="80" spans="1:26" s="15" customFormat="1" x14ac:dyDescent="0.3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</row>
    <row r="81" spans="1:17" s="15" customFormat="1" x14ac:dyDescent="0.3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</row>
    <row r="82" spans="1:17" s="15" customFormat="1" x14ac:dyDescent="0.3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</row>
    <row r="83" spans="1:17" s="15" customFormat="1" x14ac:dyDescent="0.3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</row>
    <row r="84" spans="1:17" s="15" customFormat="1" x14ac:dyDescent="0.3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</row>
    <row r="85" spans="1:17" s="15" customFormat="1" x14ac:dyDescent="0.3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</row>
    <row r="86" spans="1:17" s="15" customFormat="1" x14ac:dyDescent="0.3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</row>
    <row r="87" spans="1:17" s="15" customFormat="1" x14ac:dyDescent="0.3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</row>
    <row r="88" spans="1:17" s="15" customFormat="1" x14ac:dyDescent="0.3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</row>
    <row r="89" spans="1:17" s="15" customFormat="1" x14ac:dyDescent="0.3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</row>
    <row r="90" spans="1:17" s="15" customFormat="1" x14ac:dyDescent="0.3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</row>
    <row r="91" spans="1:17" s="15" customFormat="1" x14ac:dyDescent="0.3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</row>
    <row r="92" spans="1:17" s="15" customFormat="1" x14ac:dyDescent="0.3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</row>
    <row r="93" spans="1:17" s="15" customFormat="1" x14ac:dyDescent="0.3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</row>
    <row r="94" spans="1:17" s="15" customFormat="1" x14ac:dyDescent="0.3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</row>
    <row r="95" spans="1:17" s="15" customFormat="1" x14ac:dyDescent="0.3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</row>
    <row r="96" spans="1:17" s="15" customFormat="1" x14ac:dyDescent="0.3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</row>
    <row r="97" spans="1:17" s="15" customFormat="1" x14ac:dyDescent="0.3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</row>
    <row r="98" spans="1:17" s="15" customFormat="1" x14ac:dyDescent="0.3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</row>
    <row r="99" spans="1:17" s="15" customFormat="1" x14ac:dyDescent="0.3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</row>
    <row r="100" spans="1:17" s="15" customFormat="1" x14ac:dyDescent="0.3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</row>
    <row r="101" spans="1:17" s="15" customFormat="1" x14ac:dyDescent="0.3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</row>
    <row r="102" spans="1:17" s="15" customFormat="1" x14ac:dyDescent="0.3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</row>
    <row r="103" spans="1:17" s="15" customFormat="1" x14ac:dyDescent="0.3"/>
    <row r="104" spans="1:17" s="15" customFormat="1" x14ac:dyDescent="0.3"/>
    <row r="105" spans="1:17" s="15" customFormat="1" x14ac:dyDescent="0.3"/>
    <row r="106" spans="1:17" s="15" customFormat="1" x14ac:dyDescent="0.3"/>
    <row r="107" spans="1:17" s="15" customFormat="1" x14ac:dyDescent="0.3"/>
    <row r="108" spans="1:17" s="15" customFormat="1" x14ac:dyDescent="0.3"/>
    <row r="109" spans="1:17" s="15" customFormat="1" x14ac:dyDescent="0.3"/>
    <row r="110" spans="1:17" s="15" customFormat="1" x14ac:dyDescent="0.3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P31" formulaRange="1"/>
    <ignoredError sqref="U28:U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10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7" sqref="J27"/>
    </sheetView>
  </sheetViews>
  <sheetFormatPr defaultColWidth="9.21875" defaultRowHeight="14.4" x14ac:dyDescent="0.3"/>
  <cols>
    <col min="1" max="1" width="18.21875" bestFit="1" customWidth="1"/>
    <col min="2" max="3" width="6.44140625" bestFit="1" customWidth="1"/>
    <col min="4" max="5" width="6.44140625" style="92" bestFit="1" customWidth="1"/>
    <col min="6" max="6" width="7.77734375" style="92" bestFit="1" customWidth="1"/>
    <col min="7" max="10" width="6.44140625" style="92" bestFit="1" customWidth="1"/>
    <col min="11" max="11" width="7.77734375" style="92" bestFit="1" customWidth="1"/>
    <col min="12" max="12" width="6.44140625" style="92" bestFit="1" customWidth="1"/>
    <col min="13" max="15" width="6.44140625" style="83" bestFit="1" customWidth="1"/>
    <col min="16" max="16" width="7.77734375" style="92" bestFit="1" customWidth="1"/>
    <col min="17" max="23" width="6.44140625" style="92" bestFit="1" customWidth="1"/>
    <col min="24" max="25" width="6.33203125" style="83" bestFit="1" customWidth="1"/>
    <col min="26" max="26" width="6.44140625" style="92" bestFit="1" customWidth="1"/>
    <col min="27" max="84" width="9.21875" style="83" customWidth="1"/>
    <col min="85" max="16383" width="9.21875" style="92"/>
    <col min="16384" max="16384" width="10" style="92" customWidth="1"/>
  </cols>
  <sheetData>
    <row r="1" spans="1:84" customFormat="1" x14ac:dyDescent="0.3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148</v>
      </c>
      <c r="W1" s="7" t="s">
        <v>149</v>
      </c>
      <c r="X1" s="7" t="s">
        <v>150</v>
      </c>
      <c r="Y1" s="7" t="s">
        <v>155</v>
      </c>
      <c r="Z1" s="7">
        <v>2021</v>
      </c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</row>
    <row r="2" spans="1:84" customFormat="1" x14ac:dyDescent="0.3">
      <c r="A2" s="71" t="s">
        <v>111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</row>
    <row r="3" spans="1:84" customFormat="1" x14ac:dyDescent="0.3">
      <c r="A3" s="5" t="s">
        <v>125</v>
      </c>
      <c r="B3" s="10">
        <v>93.812371609983245</v>
      </c>
      <c r="C3" s="10">
        <v>98.700832977720196</v>
      </c>
      <c r="D3" s="10">
        <v>85.113382475178653</v>
      </c>
      <c r="E3" s="10">
        <v>111.88899999999995</v>
      </c>
      <c r="F3" s="10">
        <f>+SUM(B3:E3)</f>
        <v>389.51558706288205</v>
      </c>
      <c r="G3" s="10">
        <v>109.83516536867896</v>
      </c>
      <c r="H3" s="10">
        <v>115.37816148136737</v>
      </c>
      <c r="I3" s="10">
        <v>102.55905594373267</v>
      </c>
      <c r="J3" s="10">
        <v>136.56750848379966</v>
      </c>
      <c r="K3" s="10">
        <f t="shared" ref="K3:K5" si="0">+SUM(G3:J3)</f>
        <v>464.33989127757866</v>
      </c>
      <c r="L3" s="10">
        <v>139.55085600000001</v>
      </c>
      <c r="M3" s="10">
        <v>135.52920099999994</v>
      </c>
      <c r="N3" s="10">
        <v>121.31917500000003</v>
      </c>
      <c r="O3" s="10">
        <v>158.60403600000006</v>
      </c>
      <c r="P3" s="10">
        <f t="shared" ref="P3:P5" si="1">+SUM(L3:O3)</f>
        <v>555.00326800000005</v>
      </c>
      <c r="Q3" s="10">
        <v>168.61436699999999</v>
      </c>
      <c r="R3" s="10">
        <v>170.375968</v>
      </c>
      <c r="S3" s="10">
        <v>135.60373800000002</v>
      </c>
      <c r="T3" s="10">
        <v>173.62776799999997</v>
      </c>
      <c r="U3" s="10">
        <f>+SUM(Q3:T3)</f>
        <v>648.22184099999993</v>
      </c>
      <c r="V3" s="10">
        <v>192.83741199999997</v>
      </c>
      <c r="W3" s="10">
        <v>226.90894800000001</v>
      </c>
      <c r="X3" s="10">
        <v>197.29050999999995</v>
      </c>
      <c r="Y3" s="10">
        <v>247.79570000000004</v>
      </c>
      <c r="Z3" s="10">
        <f>+SUM(V3:Y3)</f>
        <v>864.83256999999992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</row>
    <row r="4" spans="1:84" customFormat="1" x14ac:dyDescent="0.3">
      <c r="A4" s="5" t="s">
        <v>126</v>
      </c>
      <c r="B4" s="10">
        <v>78.929120772983623</v>
      </c>
      <c r="C4" s="10">
        <v>113.44733243789557</v>
      </c>
      <c r="D4" s="10">
        <v>52.830258936125595</v>
      </c>
      <c r="E4" s="10">
        <v>123.48700000000002</v>
      </c>
      <c r="F4" s="10">
        <f t="shared" ref="F4:F5" si="2">+SUM(B4:E4)</f>
        <v>368.69371214700482</v>
      </c>
      <c r="G4" s="10">
        <v>86.359698031980841</v>
      </c>
      <c r="H4" s="10">
        <v>132.10231542551259</v>
      </c>
      <c r="I4" s="10">
        <v>72.994295839334782</v>
      </c>
      <c r="J4" s="10">
        <v>144.94512774963297</v>
      </c>
      <c r="K4" s="10">
        <f t="shared" si="0"/>
        <v>436.40143704646118</v>
      </c>
      <c r="L4" s="10">
        <v>100.65190599999998</v>
      </c>
      <c r="M4" s="10">
        <v>151.28987800000004</v>
      </c>
      <c r="N4" s="10">
        <v>88.275469999999956</v>
      </c>
      <c r="O4" s="10">
        <v>137.78106600000007</v>
      </c>
      <c r="P4" s="10">
        <f t="shared" si="1"/>
        <v>477.99832000000009</v>
      </c>
      <c r="Q4" s="10">
        <v>131.39022700000001</v>
      </c>
      <c r="R4" s="10">
        <v>179.488405</v>
      </c>
      <c r="S4" s="10">
        <v>98.207842999999968</v>
      </c>
      <c r="T4" s="10">
        <v>173.53450300000003</v>
      </c>
      <c r="U4" s="10">
        <f t="shared" ref="U4:U5" si="3">+SUM(Q4:T4)</f>
        <v>582.62097800000004</v>
      </c>
      <c r="V4" s="10">
        <v>152.267777</v>
      </c>
      <c r="W4" s="10">
        <v>184.89434400000005</v>
      </c>
      <c r="X4" s="10">
        <v>121.563</v>
      </c>
      <c r="Y4" s="10">
        <v>189.13269074079</v>
      </c>
      <c r="Z4" s="10">
        <f t="shared" ref="Z4:Z5" si="4">+SUM(V4:Y4)</f>
        <v>647.85781174079011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</row>
    <row r="5" spans="1:84" customFormat="1" x14ac:dyDescent="0.3">
      <c r="A5" s="5" t="s">
        <v>124</v>
      </c>
      <c r="B5" s="10">
        <v>2.6971701205320802</v>
      </c>
      <c r="C5" s="10">
        <v>0.94488527755214213</v>
      </c>
      <c r="D5" s="10">
        <v>0.58344266540614997</v>
      </c>
      <c r="E5" s="10">
        <v>0.80200000000000005</v>
      </c>
      <c r="F5" s="10">
        <f t="shared" si="2"/>
        <v>5.0274980634903716</v>
      </c>
      <c r="G5" s="10">
        <v>1.1585134020365413</v>
      </c>
      <c r="H5" s="10">
        <v>1.9045179264998069</v>
      </c>
      <c r="I5" s="10">
        <v>0.46684008134009447</v>
      </c>
      <c r="J5" s="10">
        <v>0.79780287957933116</v>
      </c>
      <c r="K5" s="10">
        <f t="shared" si="0"/>
        <v>4.327674289455774</v>
      </c>
      <c r="L5" s="10">
        <v>0.92615499999999995</v>
      </c>
      <c r="M5" s="10">
        <v>2.6850000000000485E-3</v>
      </c>
      <c r="N5" s="10">
        <v>0.93818799999999991</v>
      </c>
      <c r="O5" s="10">
        <v>1.1330689999999999</v>
      </c>
      <c r="P5" s="10">
        <f t="shared" si="1"/>
        <v>3.0000969999999998</v>
      </c>
      <c r="Q5" s="10">
        <v>-0.10408100000000001</v>
      </c>
      <c r="R5" s="10">
        <v>2.0947600000000004</v>
      </c>
      <c r="S5" s="10">
        <v>1.5745579999999999</v>
      </c>
      <c r="T5" s="10">
        <v>1.0490339999999996</v>
      </c>
      <c r="U5" s="10">
        <f t="shared" si="3"/>
        <v>4.6142709999999996</v>
      </c>
      <c r="V5" s="10">
        <v>1.10633</v>
      </c>
      <c r="W5" s="10">
        <v>-0.50003799999999987</v>
      </c>
      <c r="X5" s="10">
        <v>1.1878849999999999</v>
      </c>
      <c r="Y5" s="10">
        <v>1.8262630000000002</v>
      </c>
      <c r="Z5" s="10">
        <f t="shared" si="4"/>
        <v>3.6204400000000003</v>
      </c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</row>
    <row r="6" spans="1:84" customFormat="1" x14ac:dyDescent="0.3">
      <c r="A6" s="6" t="s">
        <v>136</v>
      </c>
      <c r="B6" s="12">
        <f>+SUM(B3:B5)</f>
        <v>175.43866250349896</v>
      </c>
      <c r="C6" s="12">
        <f t="shared" ref="C6:L6" si="5">+SUM(C3:C5)</f>
        <v>213.09305069316792</v>
      </c>
      <c r="D6" s="12">
        <f t="shared" si="5"/>
        <v>138.52708407671039</v>
      </c>
      <c r="E6" s="12">
        <f t="shared" si="5"/>
        <v>236.17799999999997</v>
      </c>
      <c r="F6" s="12">
        <f t="shared" si="5"/>
        <v>763.23679727337731</v>
      </c>
      <c r="G6" s="12">
        <f t="shared" si="5"/>
        <v>197.35337680269635</v>
      </c>
      <c r="H6" s="12">
        <f t="shared" si="5"/>
        <v>249.38499483337978</v>
      </c>
      <c r="I6" s="12">
        <f t="shared" si="5"/>
        <v>176.02019186440754</v>
      </c>
      <c r="J6" s="12">
        <f t="shared" si="5"/>
        <v>282.31043911301197</v>
      </c>
      <c r="K6" s="12">
        <f>+SUM(K3:K5)</f>
        <v>905.06900261349563</v>
      </c>
      <c r="L6" s="12">
        <f t="shared" si="5"/>
        <v>241.128917</v>
      </c>
      <c r="M6" s="12">
        <f t="shared" ref="M6:O6" si="6">+SUM(M3:M5)</f>
        <v>286.82176399999997</v>
      </c>
      <c r="N6" s="12">
        <f t="shared" si="6"/>
        <v>210.53283299999998</v>
      </c>
      <c r="O6" s="12">
        <f t="shared" si="6"/>
        <v>297.51817100000011</v>
      </c>
      <c r="P6" s="12">
        <f t="shared" ref="P6:Y6" si="7">+SUM(P3:P5)</f>
        <v>1036.0016850000002</v>
      </c>
      <c r="Q6" s="12">
        <f t="shared" si="7"/>
        <v>299.90051299999999</v>
      </c>
      <c r="R6" s="12">
        <f t="shared" si="7"/>
        <v>351.95913300000001</v>
      </c>
      <c r="S6" s="12">
        <f t="shared" si="7"/>
        <v>235.38613899999999</v>
      </c>
      <c r="T6" s="12">
        <f t="shared" si="7"/>
        <v>348.21130500000004</v>
      </c>
      <c r="U6" s="12">
        <f t="shared" si="7"/>
        <v>1235.4570899999999</v>
      </c>
      <c r="V6" s="12">
        <f t="shared" si="7"/>
        <v>346.21151900000001</v>
      </c>
      <c r="W6" s="12">
        <f t="shared" si="7"/>
        <v>411.30325400000004</v>
      </c>
      <c r="X6" s="12">
        <f t="shared" si="7"/>
        <v>320.04139499999997</v>
      </c>
      <c r="Y6" s="12">
        <f t="shared" si="7"/>
        <v>438.75465374079005</v>
      </c>
      <c r="Z6" s="12">
        <f t="shared" ref="Z6" si="8">+SUM(Z3:Z5)</f>
        <v>1516.3108217407901</v>
      </c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</row>
    <row r="7" spans="1:84" customFormat="1" x14ac:dyDescent="0.3">
      <c r="A7" s="71" t="s">
        <v>112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</row>
    <row r="8" spans="1:84" customFormat="1" x14ac:dyDescent="0.3">
      <c r="A8" s="5" t="s">
        <v>125</v>
      </c>
      <c r="B8" s="10">
        <v>19.32445946721473</v>
      </c>
      <c r="C8" s="10">
        <v>17.487308696784609</v>
      </c>
      <c r="D8" s="10">
        <v>13.237112279987755</v>
      </c>
      <c r="E8" s="10">
        <v>21.838000000000001</v>
      </c>
      <c r="F8" s="10">
        <f t="shared" ref="F8:F10" si="9">+SUM(B8:E8)</f>
        <v>71.886880443987096</v>
      </c>
      <c r="G8" s="10">
        <v>21.223908870667199</v>
      </c>
      <c r="H8" s="10">
        <v>23.738652326428383</v>
      </c>
      <c r="I8" s="10">
        <v>19.758694171032172</v>
      </c>
      <c r="J8" s="10">
        <v>28.823909647017317</v>
      </c>
      <c r="K8" s="10">
        <f t="shared" ref="K8:K10" si="10">+SUM(G8:J8)</f>
        <v>93.545165015145074</v>
      </c>
      <c r="L8" s="10">
        <v>25.949885999999999</v>
      </c>
      <c r="M8" s="10">
        <v>29.562249000000001</v>
      </c>
      <c r="N8" s="10">
        <v>24.51079</v>
      </c>
      <c r="O8" s="10">
        <v>41.566270000000003</v>
      </c>
      <c r="P8" s="10">
        <f t="shared" ref="P8:P10" si="11">+SUM(L8:O8)</f>
        <v>121.589195</v>
      </c>
      <c r="Q8" s="10">
        <v>28.346401</v>
      </c>
      <c r="R8" s="10">
        <v>39.585620000000013</v>
      </c>
      <c r="S8" s="10">
        <v>34.756011999999998</v>
      </c>
      <c r="T8" s="10">
        <v>47.384054000000006</v>
      </c>
      <c r="U8" s="10">
        <f t="shared" ref="U8:U10" si="12">+SUM(Q8:T8)</f>
        <v>150.07208700000001</v>
      </c>
      <c r="V8" s="10">
        <v>40.217500000000001</v>
      </c>
      <c r="W8" s="10">
        <v>54.899354000000017</v>
      </c>
      <c r="X8" s="10">
        <v>50.733632</v>
      </c>
      <c r="Y8" s="10">
        <v>69.486105999999978</v>
      </c>
      <c r="Z8" s="10">
        <f t="shared" ref="Z8:Z10" si="13">+SUM(V8:Y8)</f>
        <v>215.336592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</row>
    <row r="9" spans="1:84" customFormat="1" x14ac:dyDescent="0.3">
      <c r="A9" s="5" t="s">
        <v>126</v>
      </c>
      <c r="B9" s="10">
        <v>21.273538203721685</v>
      </c>
      <c r="C9" s="10">
        <v>55.4572173102504</v>
      </c>
      <c r="D9" s="10">
        <v>26.188889913931497</v>
      </c>
      <c r="E9" s="10">
        <v>36.420999999999992</v>
      </c>
      <c r="F9" s="10">
        <f t="shared" si="9"/>
        <v>139.34064542790358</v>
      </c>
      <c r="G9" s="10">
        <v>30.346294719771347</v>
      </c>
      <c r="H9" s="10">
        <v>56.207165860671566</v>
      </c>
      <c r="I9" s="10">
        <v>38.827368686261963</v>
      </c>
      <c r="J9" s="10">
        <v>46.091610548710541</v>
      </c>
      <c r="K9" s="10">
        <f t="shared" si="10"/>
        <v>171.47243981541541</v>
      </c>
      <c r="L9" s="10">
        <v>34.564709000000001</v>
      </c>
      <c r="M9" s="10">
        <v>69.916988000000003</v>
      </c>
      <c r="N9" s="10">
        <v>54.560760999999985</v>
      </c>
      <c r="O9" s="10">
        <v>71.729468000000026</v>
      </c>
      <c r="P9" s="10">
        <f t="shared" si="11"/>
        <v>230.77192600000001</v>
      </c>
      <c r="Q9" s="10">
        <v>59.730241999999997</v>
      </c>
      <c r="R9" s="10">
        <v>102.29545399999999</v>
      </c>
      <c r="S9" s="10">
        <v>78.198289000000017</v>
      </c>
      <c r="T9" s="10">
        <v>102.52953599999996</v>
      </c>
      <c r="U9" s="10">
        <f t="shared" si="12"/>
        <v>342.75352099999998</v>
      </c>
      <c r="V9" s="10">
        <v>79.177353999999994</v>
      </c>
      <c r="W9" s="10">
        <v>122.94235200000001</v>
      </c>
      <c r="X9" s="10">
        <v>90.693721000000025</v>
      </c>
      <c r="Y9" s="10">
        <v>124.78463400000003</v>
      </c>
      <c r="Z9" s="10">
        <f t="shared" si="13"/>
        <v>417.59806100000009</v>
      </c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</row>
    <row r="10" spans="1:84" customFormat="1" x14ac:dyDescent="0.3">
      <c r="A10" s="5" t="s">
        <v>124</v>
      </c>
      <c r="B10" s="10">
        <v>1.9711366180525702</v>
      </c>
      <c r="C10" s="10">
        <v>1.0658807033858599</v>
      </c>
      <c r="D10" s="10">
        <v>0.89174789758125117</v>
      </c>
      <c r="E10" s="10">
        <v>0.45699999999999985</v>
      </c>
      <c r="F10" s="10">
        <f t="shared" si="9"/>
        <v>4.3857652190196816</v>
      </c>
      <c r="G10" s="10">
        <v>1.0118008422490501</v>
      </c>
      <c r="H10" s="10">
        <v>1.0051423304963101</v>
      </c>
      <c r="I10" s="10">
        <v>1.4625075502440397</v>
      </c>
      <c r="J10" s="10">
        <v>1.8611725344648602</v>
      </c>
      <c r="K10" s="10">
        <f t="shared" si="10"/>
        <v>5.3406232574542596</v>
      </c>
      <c r="L10" s="10">
        <v>0.43323700000000004</v>
      </c>
      <c r="M10" s="10">
        <v>0.58081499999999986</v>
      </c>
      <c r="N10" s="10">
        <v>0.57573300000000005</v>
      </c>
      <c r="O10" s="10">
        <v>0.33255499999999993</v>
      </c>
      <c r="P10" s="10">
        <f t="shared" si="11"/>
        <v>1.9223399999999999</v>
      </c>
      <c r="Q10" s="10">
        <v>1.0860540000000001</v>
      </c>
      <c r="R10" s="10">
        <v>0.57767799999999991</v>
      </c>
      <c r="S10" s="10">
        <v>0.98603499999999988</v>
      </c>
      <c r="T10" s="10">
        <v>1.0127790000000001</v>
      </c>
      <c r="U10" s="10">
        <f t="shared" si="12"/>
        <v>3.6625459999999999</v>
      </c>
      <c r="V10" s="10">
        <v>0.57583299999999993</v>
      </c>
      <c r="W10" s="10">
        <v>0.61685299999999998</v>
      </c>
      <c r="X10" s="10">
        <v>0.73660400000000004</v>
      </c>
      <c r="Y10" s="10">
        <v>2.1138439999999998</v>
      </c>
      <c r="Z10" s="10">
        <f t="shared" si="13"/>
        <v>4.0431340000000002</v>
      </c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</row>
    <row r="11" spans="1:84" customFormat="1" x14ac:dyDescent="0.3">
      <c r="A11" s="6" t="s">
        <v>137</v>
      </c>
      <c r="B11" s="12">
        <f>+SUM(B8:B10)</f>
        <v>42.569134288988984</v>
      </c>
      <c r="C11" s="12">
        <f t="shared" ref="C11:L11" si="14">+SUM(C8:C10)</f>
        <v>74.010406710420867</v>
      </c>
      <c r="D11" s="12">
        <f t="shared" si="14"/>
        <v>40.317750091500507</v>
      </c>
      <c r="E11" s="12">
        <f t="shared" si="14"/>
        <v>58.715999999999994</v>
      </c>
      <c r="F11" s="12">
        <f>+SUM(F8:F10)</f>
        <v>215.61329109091037</v>
      </c>
      <c r="G11" s="12">
        <f t="shared" si="14"/>
        <v>52.582004432687597</v>
      </c>
      <c r="H11" s="12">
        <f t="shared" si="14"/>
        <v>80.950960517596258</v>
      </c>
      <c r="I11" s="12">
        <f t="shared" si="14"/>
        <v>60.048570407538179</v>
      </c>
      <c r="J11" s="12">
        <f t="shared" si="14"/>
        <v>76.776692730192707</v>
      </c>
      <c r="K11" s="12">
        <f t="shared" si="14"/>
        <v>270.3582280880147</v>
      </c>
      <c r="L11" s="12">
        <f t="shared" si="14"/>
        <v>60.947831999999998</v>
      </c>
      <c r="M11" s="12">
        <f t="shared" ref="M11:Q11" si="15">+SUM(M8:M10)</f>
        <v>100.06005200000001</v>
      </c>
      <c r="N11" s="12">
        <f t="shared" si="15"/>
        <v>79.647283999999985</v>
      </c>
      <c r="O11" s="12">
        <f t="shared" si="15"/>
        <v>113.62829300000003</v>
      </c>
      <c r="P11" s="12">
        <f t="shared" si="15"/>
        <v>354.28346100000005</v>
      </c>
      <c r="Q11" s="12">
        <f t="shared" si="15"/>
        <v>89.162696999999994</v>
      </c>
      <c r="R11" s="12">
        <f t="shared" ref="R11:Y11" si="16">+SUM(R8:R10)</f>
        <v>142.458752</v>
      </c>
      <c r="S11" s="12">
        <f t="shared" si="16"/>
        <v>113.94033600000002</v>
      </c>
      <c r="T11" s="12">
        <f t="shared" si="16"/>
        <v>150.92636899999997</v>
      </c>
      <c r="U11" s="12">
        <f t="shared" si="16"/>
        <v>496.48815400000001</v>
      </c>
      <c r="V11" s="12">
        <f t="shared" si="16"/>
        <v>119.970687</v>
      </c>
      <c r="W11" s="12">
        <f t="shared" si="16"/>
        <v>178.45855900000004</v>
      </c>
      <c r="X11" s="12">
        <f t="shared" si="16"/>
        <v>142.16395700000004</v>
      </c>
      <c r="Y11" s="12">
        <f t="shared" si="16"/>
        <v>196.38458399999999</v>
      </c>
      <c r="Z11" s="12">
        <f t="shared" ref="Z11" si="17">+SUM(Z8:Z10)</f>
        <v>636.97778700000003</v>
      </c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customFormat="1" x14ac:dyDescent="0.3">
      <c r="A12" s="71" t="s">
        <v>113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</row>
    <row r="13" spans="1:84" customFormat="1" x14ac:dyDescent="0.3">
      <c r="A13" s="5" t="s">
        <v>125</v>
      </c>
      <c r="B13" s="10">
        <v>4.3469332609930804</v>
      </c>
      <c r="C13" s="10">
        <v>3.7297428480704293</v>
      </c>
      <c r="D13" s="10">
        <v>4.3570369509187898</v>
      </c>
      <c r="E13" s="10">
        <v>5.6009999999999991</v>
      </c>
      <c r="F13" s="10">
        <f t="shared" ref="F13:F15" si="18">+SUM(B13:E13)</f>
        <v>18.034713059982298</v>
      </c>
      <c r="G13" s="10">
        <v>3.8727842551622604</v>
      </c>
      <c r="H13" s="10">
        <v>5.2688675602371795</v>
      </c>
      <c r="I13" s="10">
        <v>5.4439979213908876</v>
      </c>
      <c r="J13" s="10">
        <v>6.6933483415564732</v>
      </c>
      <c r="K13" s="10">
        <f t="shared" ref="K13:K15" si="19">+SUM(G13:J13)</f>
        <v>21.278998078346799</v>
      </c>
      <c r="L13" s="10">
        <v>6.6091880000000005</v>
      </c>
      <c r="M13" s="10">
        <v>10.742445999999997</v>
      </c>
      <c r="N13" s="10">
        <v>7.1807480000000012</v>
      </c>
      <c r="O13" s="10">
        <v>15.846262000000003</v>
      </c>
      <c r="P13" s="10">
        <f t="shared" ref="P13:P15" si="20">+SUM(L13:O13)</f>
        <v>40.378644000000001</v>
      </c>
      <c r="Q13" s="10">
        <v>14.103479</v>
      </c>
      <c r="R13" s="10">
        <v>24.627758</v>
      </c>
      <c r="S13" s="10">
        <v>20.314457000000001</v>
      </c>
      <c r="T13" s="10">
        <v>28.487589</v>
      </c>
      <c r="U13" s="10">
        <f t="shared" ref="U13:U15" si="21">+SUM(Q13:T13)</f>
        <v>87.533282999999997</v>
      </c>
      <c r="V13" s="10">
        <v>17.180235</v>
      </c>
      <c r="W13" s="10">
        <v>33.108834000000002</v>
      </c>
      <c r="X13" s="10">
        <v>25.921216000000001</v>
      </c>
      <c r="Y13" s="10">
        <v>52.107205</v>
      </c>
      <c r="Z13" s="10">
        <f t="shared" ref="Z13:Z15" si="22">+SUM(V13:Y13)</f>
        <v>128.31748999999999</v>
      </c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</row>
    <row r="14" spans="1:84" customFormat="1" x14ac:dyDescent="0.3">
      <c r="A14" s="5" t="s">
        <v>126</v>
      </c>
      <c r="B14" s="10">
        <v>13.917620984064708</v>
      </c>
      <c r="C14" s="10">
        <v>24.555460465177902</v>
      </c>
      <c r="D14" s="10">
        <v>12.137631106844701</v>
      </c>
      <c r="E14" s="10">
        <v>22.036999999999992</v>
      </c>
      <c r="F14" s="10">
        <f t="shared" si="18"/>
        <v>72.647712556087299</v>
      </c>
      <c r="G14" s="10">
        <v>20.51732388455968</v>
      </c>
      <c r="H14" s="10">
        <v>28.936535392377543</v>
      </c>
      <c r="I14" s="10">
        <v>19.742837881847414</v>
      </c>
      <c r="J14" s="10">
        <v>39.969101041323235</v>
      </c>
      <c r="K14" s="10">
        <f t="shared" si="19"/>
        <v>109.16579820010787</v>
      </c>
      <c r="L14" s="10">
        <v>34.243347</v>
      </c>
      <c r="M14" s="10">
        <v>42.820640999999995</v>
      </c>
      <c r="N14" s="10">
        <v>42.900420000000011</v>
      </c>
      <c r="O14" s="10">
        <v>32.596954999999994</v>
      </c>
      <c r="P14" s="10">
        <f t="shared" si="20"/>
        <v>152.561363</v>
      </c>
      <c r="Q14" s="10">
        <v>46.047792999999999</v>
      </c>
      <c r="R14" s="10">
        <v>69.873797999999994</v>
      </c>
      <c r="S14" s="10">
        <v>42.288598000000022</v>
      </c>
      <c r="T14" s="10">
        <v>51.295485000000014</v>
      </c>
      <c r="U14" s="10">
        <f t="shared" si="21"/>
        <v>209.50567400000003</v>
      </c>
      <c r="V14" s="10">
        <v>62.353418000000005</v>
      </c>
      <c r="W14" s="10">
        <v>87.508679999999998</v>
      </c>
      <c r="X14" s="10">
        <v>51.82615100000001</v>
      </c>
      <c r="Y14" s="10">
        <v>157.12618799999998</v>
      </c>
      <c r="Z14" s="10">
        <f t="shared" si="22"/>
        <v>358.814437</v>
      </c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</row>
    <row r="15" spans="1:84" customFormat="1" x14ac:dyDescent="0.3">
      <c r="A15" s="5" t="s">
        <v>124</v>
      </c>
      <c r="B15" s="10">
        <v>3.2254831128880043E-2</v>
      </c>
      <c r="C15" s="10"/>
      <c r="D15" s="10"/>
      <c r="E15" s="10">
        <v>0</v>
      </c>
      <c r="F15" s="10">
        <f t="shared" si="18"/>
        <v>3.2254831128880043E-2</v>
      </c>
      <c r="G15" s="10">
        <v>0.17222555143647003</v>
      </c>
      <c r="H15" s="10">
        <v>0.21200232835132993</v>
      </c>
      <c r="I15" s="10">
        <v>-3.2962222143480005E-2</v>
      </c>
      <c r="J15" s="10">
        <v>1.6828763184382802</v>
      </c>
      <c r="K15" s="10">
        <f t="shared" si="19"/>
        <v>2.0341419760826001</v>
      </c>
      <c r="L15" s="10">
        <v>1.3519060000000001</v>
      </c>
      <c r="M15" s="10">
        <v>0.24281299999999995</v>
      </c>
      <c r="N15" s="10">
        <v>1.1791770000000001</v>
      </c>
      <c r="O15" s="10">
        <v>1.9456739999999999</v>
      </c>
      <c r="P15" s="10">
        <f t="shared" si="20"/>
        <v>4.71957</v>
      </c>
      <c r="Q15" s="10">
        <v>1.2283710000000001</v>
      </c>
      <c r="R15" s="10">
        <v>1.8003699999999998</v>
      </c>
      <c r="S15" s="10">
        <v>1.9899399999999996</v>
      </c>
      <c r="T15" s="10">
        <v>1.6423070000000006</v>
      </c>
      <c r="U15" s="10">
        <f t="shared" si="21"/>
        <v>6.6609880000000006</v>
      </c>
      <c r="V15" s="10">
        <v>0.9026559999999999</v>
      </c>
      <c r="W15" s="10">
        <v>1.0875460000000001</v>
      </c>
      <c r="X15" s="10">
        <v>1.6704689999999998</v>
      </c>
      <c r="Y15" s="10">
        <v>0.8338920000000003</v>
      </c>
      <c r="Z15" s="10">
        <f t="shared" si="22"/>
        <v>4.4945630000000003</v>
      </c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</row>
    <row r="16" spans="1:84" customFormat="1" x14ac:dyDescent="0.3">
      <c r="A16" s="6" t="s">
        <v>138</v>
      </c>
      <c r="B16" s="12">
        <f>+SUM(B13:B15)</f>
        <v>18.296809076186669</v>
      </c>
      <c r="C16" s="12">
        <f t="shared" ref="C16:L16" si="23">+SUM(C13:C15)</f>
        <v>28.285203313248331</v>
      </c>
      <c r="D16" s="12">
        <f t="shared" si="23"/>
        <v>16.494668057763491</v>
      </c>
      <c r="E16" s="12">
        <f t="shared" si="23"/>
        <v>27.637999999999991</v>
      </c>
      <c r="F16" s="12">
        <f t="shared" si="23"/>
        <v>90.714680447198475</v>
      </c>
      <c r="G16" s="12">
        <f t="shared" si="23"/>
        <v>24.562333691158408</v>
      </c>
      <c r="H16" s="12">
        <f t="shared" si="23"/>
        <v>34.417405280966051</v>
      </c>
      <c r="I16" s="12">
        <f t="shared" si="23"/>
        <v>25.153873581094821</v>
      </c>
      <c r="J16" s="12">
        <f t="shared" si="23"/>
        <v>48.345325701317989</v>
      </c>
      <c r="K16" s="12">
        <f t="shared" si="23"/>
        <v>132.47893825453727</v>
      </c>
      <c r="L16" s="12">
        <f t="shared" si="23"/>
        <v>42.204441000000003</v>
      </c>
      <c r="M16" s="12">
        <f t="shared" ref="M16:Q16" si="24">+SUM(M13:M15)</f>
        <v>53.805899999999994</v>
      </c>
      <c r="N16" s="12">
        <f t="shared" si="24"/>
        <v>51.260345000000015</v>
      </c>
      <c r="O16" s="12">
        <f t="shared" si="24"/>
        <v>50.388890999999994</v>
      </c>
      <c r="P16" s="12">
        <f t="shared" si="24"/>
        <v>197.65957700000001</v>
      </c>
      <c r="Q16" s="12">
        <f t="shared" si="24"/>
        <v>61.379643000000002</v>
      </c>
      <c r="R16" s="12">
        <f t="shared" ref="R16:Y16" si="25">+SUM(R13:R15)</f>
        <v>96.301925999999995</v>
      </c>
      <c r="S16" s="12">
        <f t="shared" si="25"/>
        <v>64.59299500000003</v>
      </c>
      <c r="T16" s="12">
        <f t="shared" si="25"/>
        <v>81.425381000000016</v>
      </c>
      <c r="U16" s="12">
        <f t="shared" si="25"/>
        <v>303.69994500000001</v>
      </c>
      <c r="V16" s="12">
        <f t="shared" si="25"/>
        <v>80.436308999999994</v>
      </c>
      <c r="W16" s="12">
        <f t="shared" si="25"/>
        <v>121.70506</v>
      </c>
      <c r="X16" s="12">
        <f t="shared" si="25"/>
        <v>79.417836000000008</v>
      </c>
      <c r="Y16" s="12">
        <f t="shared" si="25"/>
        <v>210.06728499999997</v>
      </c>
      <c r="Z16" s="12">
        <f t="shared" ref="Z16" si="26">+SUM(Z13:Z15)</f>
        <v>491.62649000000005</v>
      </c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</row>
    <row r="17" spans="1:84" customFormat="1" x14ac:dyDescent="0.3">
      <c r="A17" s="71" t="s">
        <v>114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</row>
    <row r="18" spans="1:84" customFormat="1" x14ac:dyDescent="0.3">
      <c r="A18" s="5" t="s">
        <v>125</v>
      </c>
      <c r="B18" s="10">
        <v>27.261693814673894</v>
      </c>
      <c r="C18" s="10">
        <v>31.19981623818283</v>
      </c>
      <c r="D18" s="10">
        <v>25.281489947143271</v>
      </c>
      <c r="E18" s="10">
        <v>25.13600000000001</v>
      </c>
      <c r="F18" s="10">
        <f t="shared" ref="F18:F20" si="27">+SUM(B18:E18)</f>
        <v>108.879</v>
      </c>
      <c r="G18" s="10">
        <v>27.572314148030824</v>
      </c>
      <c r="H18" s="10">
        <v>27.95384808396339</v>
      </c>
      <c r="I18" s="10">
        <v>30.441340875015989</v>
      </c>
      <c r="J18" s="10">
        <v>31.2892096467687</v>
      </c>
      <c r="K18" s="10">
        <f t="shared" ref="K18:K20" si="28">+SUM(G18:J18)</f>
        <v>117.2567127537789</v>
      </c>
      <c r="L18" s="10">
        <v>31.474324999999997</v>
      </c>
      <c r="M18" s="10">
        <v>34.663037000000003</v>
      </c>
      <c r="N18" s="10">
        <v>40.082005000000024</v>
      </c>
      <c r="O18" s="10">
        <v>46.245732999999987</v>
      </c>
      <c r="P18" s="10">
        <f t="shared" ref="P18:P20" si="29">+SUM(L18:O18)</f>
        <v>152.46510000000001</v>
      </c>
      <c r="Q18" s="10">
        <v>48.447037999999999</v>
      </c>
      <c r="R18" s="10">
        <v>53.346966000000002</v>
      </c>
      <c r="S18" s="10">
        <v>57.124686000000004</v>
      </c>
      <c r="T18" s="10">
        <v>61.130970999999974</v>
      </c>
      <c r="U18" s="10">
        <f t="shared" ref="U18:U20" si="30">+SUM(Q18:T18)</f>
        <v>220.04966099999996</v>
      </c>
      <c r="V18" s="10">
        <v>67.046888999999993</v>
      </c>
      <c r="W18" s="10">
        <v>67.649161000000021</v>
      </c>
      <c r="X18" s="10">
        <v>69.411260999999996</v>
      </c>
      <c r="Y18" s="10">
        <v>81.227988999999994</v>
      </c>
      <c r="Z18" s="10">
        <f t="shared" ref="Z18:Z20" si="31">+SUM(V18:Y18)</f>
        <v>285.33530000000002</v>
      </c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</row>
    <row r="19" spans="1:84" customFormat="1" x14ac:dyDescent="0.3">
      <c r="A19" s="5" t="s">
        <v>126</v>
      </c>
      <c r="B19" s="10">
        <v>4.6509877062169895</v>
      </c>
      <c r="C19" s="10">
        <v>9.3035663613054194</v>
      </c>
      <c r="D19" s="10">
        <v>4.5506276324775907</v>
      </c>
      <c r="E19" s="10">
        <v>4.8180000000000014</v>
      </c>
      <c r="F19" s="10">
        <f t="shared" si="27"/>
        <v>23.323181700000003</v>
      </c>
      <c r="G19" s="10">
        <v>6.0669257596178756</v>
      </c>
      <c r="H19" s="10">
        <v>11.692649283623632</v>
      </c>
      <c r="I19" s="10">
        <v>8.6726446964791535</v>
      </c>
      <c r="J19" s="10">
        <v>9.8400492482155091</v>
      </c>
      <c r="K19" s="10">
        <f t="shared" si="28"/>
        <v>36.272268987936172</v>
      </c>
      <c r="L19" s="10">
        <v>9.9822489999999995</v>
      </c>
      <c r="M19" s="10">
        <v>23.263867000000001</v>
      </c>
      <c r="N19" s="10">
        <v>16.606269000000005</v>
      </c>
      <c r="O19" s="10">
        <v>18.580747999999993</v>
      </c>
      <c r="P19" s="10">
        <f t="shared" si="29"/>
        <v>68.433132999999998</v>
      </c>
      <c r="Q19" s="10">
        <v>20.048832999999998</v>
      </c>
      <c r="R19" s="10">
        <v>26.587583000000009</v>
      </c>
      <c r="S19" s="10">
        <v>23.727367999999995</v>
      </c>
      <c r="T19" s="10">
        <v>27.084657000000004</v>
      </c>
      <c r="U19" s="10">
        <f t="shared" si="30"/>
        <v>97.448441000000017</v>
      </c>
      <c r="V19" s="10">
        <v>23.053318000000001</v>
      </c>
      <c r="W19" s="10">
        <v>36.70732000000001</v>
      </c>
      <c r="X19" s="10">
        <v>39.336987999999998</v>
      </c>
      <c r="Y19" s="10">
        <v>31.808288000000001</v>
      </c>
      <c r="Z19" s="10">
        <f t="shared" si="31"/>
        <v>130.90591400000002</v>
      </c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</row>
    <row r="20" spans="1:84" customFormat="1" x14ac:dyDescent="0.3">
      <c r="A20" s="5" t="s">
        <v>124</v>
      </c>
      <c r="B20" s="10">
        <v>0.16293590934847166</v>
      </c>
      <c r="C20" s="10"/>
      <c r="D20" s="10">
        <v>9.3738607815859021E-2</v>
      </c>
      <c r="E20" s="10">
        <v>0.51600000000000001</v>
      </c>
      <c r="F20" s="10">
        <f t="shared" si="27"/>
        <v>0.77267451716433067</v>
      </c>
      <c r="G20" s="10">
        <v>0.11129945356833001</v>
      </c>
      <c r="H20" s="10">
        <v>-7.4853421585740015E-2</v>
      </c>
      <c r="I20" s="10">
        <v>0.7519575554876099</v>
      </c>
      <c r="J20" s="10">
        <v>0.6860037788831701</v>
      </c>
      <c r="K20" s="10">
        <f t="shared" si="28"/>
        <v>1.4744073663533701</v>
      </c>
      <c r="L20" s="10">
        <v>0.221273</v>
      </c>
      <c r="M20" s="10">
        <v>0.53488800000000003</v>
      </c>
      <c r="N20" s="10">
        <v>0.3018550000000001</v>
      </c>
      <c r="O20" s="10">
        <v>0.329426</v>
      </c>
      <c r="P20" s="10">
        <f t="shared" si="29"/>
        <v>1.3874420000000003</v>
      </c>
      <c r="Q20" s="10">
        <v>-1.2395419999999999</v>
      </c>
      <c r="R20" s="10">
        <v>1.859049</v>
      </c>
      <c r="S20" s="10">
        <v>5.0714000000000058E-2</v>
      </c>
      <c r="T20" s="10">
        <v>0.31514300000000001</v>
      </c>
      <c r="U20" s="10">
        <f t="shared" si="30"/>
        <v>0.98536400000000013</v>
      </c>
      <c r="V20" s="10">
        <v>0.204454</v>
      </c>
      <c r="W20" s="10">
        <v>0.19258499999999998</v>
      </c>
      <c r="X20" s="10">
        <v>0.24449000000000001</v>
      </c>
      <c r="Y20" s="10">
        <v>0.33012599999999998</v>
      </c>
      <c r="Z20" s="10">
        <f t="shared" si="31"/>
        <v>0.97165499999999994</v>
      </c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</row>
    <row r="21" spans="1:84" customFormat="1" x14ac:dyDescent="0.3">
      <c r="A21" s="6" t="s">
        <v>139</v>
      </c>
      <c r="B21" s="12">
        <f>+SUM(B18:B20)</f>
        <v>32.075617430239355</v>
      </c>
      <c r="C21" s="12">
        <f t="shared" ref="C21:L21" si="32">+SUM(C18:C20)</f>
        <v>40.503382599488248</v>
      </c>
      <c r="D21" s="12">
        <f t="shared" si="32"/>
        <v>29.925856187436722</v>
      </c>
      <c r="E21" s="12">
        <f t="shared" si="32"/>
        <v>30.470000000000013</v>
      </c>
      <c r="F21" s="12">
        <f t="shared" si="32"/>
        <v>132.97485621716433</v>
      </c>
      <c r="G21" s="12">
        <f t="shared" si="32"/>
        <v>33.750539361217029</v>
      </c>
      <c r="H21" s="12">
        <f t="shared" si="32"/>
        <v>39.571643946001281</v>
      </c>
      <c r="I21" s="12">
        <f t="shared" si="32"/>
        <v>39.865943126982749</v>
      </c>
      <c r="J21" s="12">
        <f t="shared" si="32"/>
        <v>41.81526267386738</v>
      </c>
      <c r="K21" s="12">
        <f t="shared" si="32"/>
        <v>155.00338910806846</v>
      </c>
      <c r="L21" s="12">
        <f t="shared" si="32"/>
        <v>41.677846999999993</v>
      </c>
      <c r="M21" s="12">
        <f t="shared" ref="M21:Q21" si="33">+SUM(M18:M20)</f>
        <v>58.46179200000001</v>
      </c>
      <c r="N21" s="12">
        <f t="shared" si="33"/>
        <v>56.990129000000032</v>
      </c>
      <c r="O21" s="12">
        <f t="shared" si="33"/>
        <v>65.155906999999971</v>
      </c>
      <c r="P21" s="12">
        <f t="shared" si="33"/>
        <v>222.285675</v>
      </c>
      <c r="Q21" s="12">
        <f t="shared" si="33"/>
        <v>67.256328999999994</v>
      </c>
      <c r="R21" s="12">
        <f t="shared" ref="R21:Y21" si="34">+SUM(R18:R20)</f>
        <v>81.793598000000003</v>
      </c>
      <c r="S21" s="12">
        <f t="shared" si="34"/>
        <v>80.902767999999995</v>
      </c>
      <c r="T21" s="12">
        <f t="shared" si="34"/>
        <v>88.530770999999987</v>
      </c>
      <c r="U21" s="12">
        <f t="shared" si="34"/>
        <v>318.48346599999996</v>
      </c>
      <c r="V21" s="12">
        <f t="shared" si="34"/>
        <v>90.304660999999996</v>
      </c>
      <c r="W21" s="12">
        <f t="shared" si="34"/>
        <v>104.54906600000002</v>
      </c>
      <c r="X21" s="12">
        <f t="shared" si="34"/>
        <v>108.99273899999999</v>
      </c>
      <c r="Y21" s="12">
        <f t="shared" si="34"/>
        <v>113.36640300000001</v>
      </c>
      <c r="Z21" s="12">
        <f t="shared" ref="Z21" si="35">+SUM(Z18:Z20)</f>
        <v>417.21286900000001</v>
      </c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</row>
    <row r="22" spans="1:84" customFormat="1" x14ac:dyDescent="0.3">
      <c r="A22" s="71" t="s">
        <v>115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</row>
    <row r="23" spans="1:84" customFormat="1" x14ac:dyDescent="0.3">
      <c r="A23" s="5" t="s">
        <v>125</v>
      </c>
      <c r="B23" s="10">
        <v>0</v>
      </c>
      <c r="C23" s="10">
        <v>0</v>
      </c>
      <c r="D23" s="10">
        <v>0</v>
      </c>
      <c r="E23" s="10">
        <v>0</v>
      </c>
      <c r="F23" s="10">
        <f t="shared" ref="F23:F25" si="36">+SUM(B23:E23)</f>
        <v>0</v>
      </c>
      <c r="G23" s="10">
        <v>0</v>
      </c>
      <c r="H23" s="10">
        <v>-9.2249999999999988E-3</v>
      </c>
      <c r="I23" s="10">
        <v>-2.8042919999999995E-2</v>
      </c>
      <c r="J23" s="10">
        <v>1.7763568394002505E-18</v>
      </c>
      <c r="K23" s="10">
        <f t="shared" ref="K23:K25" si="37">+SUM(G23:J23)</f>
        <v>-3.7267919999999996E-2</v>
      </c>
      <c r="L23" s="10">
        <v>-9.0869999999999996E-3</v>
      </c>
      <c r="M23" s="10">
        <v>-3.0450000000000008E-3</v>
      </c>
      <c r="N23" s="10">
        <v>0</v>
      </c>
      <c r="O23" s="10">
        <v>0.11232399999999999</v>
      </c>
      <c r="P23" s="10">
        <f t="shared" ref="P23:P25" si="38">+SUM(L23:O23)</f>
        <v>0.10019199999999999</v>
      </c>
      <c r="Q23" s="10">
        <v>0.35528599999999999</v>
      </c>
      <c r="R23" s="10">
        <v>-1.8651746813702631E-17</v>
      </c>
      <c r="S23" s="10">
        <v>-0.28850999999999999</v>
      </c>
      <c r="T23" s="10">
        <v>-0.24681600000000004</v>
      </c>
      <c r="U23" s="10">
        <f t="shared" ref="U23:U25" si="39">+SUM(Q23:T23)</f>
        <v>-0.18004000000000003</v>
      </c>
      <c r="V23" s="10">
        <v>-2.9682E-2</v>
      </c>
      <c r="W23" s="10">
        <v>-6.2785999999999995E-2</v>
      </c>
      <c r="X23" s="10">
        <v>1.3724000000000004E-2</v>
      </c>
      <c r="Y23" s="10">
        <v>6.0594999999999996E-2</v>
      </c>
      <c r="Z23" s="10">
        <f t="shared" ref="Z23:Z25" si="40">+SUM(V23:Y23)</f>
        <v>-1.8148999999999998E-2</v>
      </c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</row>
    <row r="24" spans="1:84" customFormat="1" x14ac:dyDescent="0.3">
      <c r="A24" s="5" t="s">
        <v>126</v>
      </c>
      <c r="B24" s="10">
        <v>0.87475436999999878</v>
      </c>
      <c r="C24" s="10">
        <v>-0.81483449999999868</v>
      </c>
      <c r="D24" s="10">
        <v>8.0129999999900559E-5</v>
      </c>
      <c r="E24" s="10">
        <v>-0.29499999999999998</v>
      </c>
      <c r="F24" s="10">
        <f t="shared" si="36"/>
        <v>-0.23499999999999999</v>
      </c>
      <c r="G24" s="10">
        <v>-0.37978183999999998</v>
      </c>
      <c r="H24" s="10">
        <v>-1.1571876499999989</v>
      </c>
      <c r="I24" s="10">
        <v>-0.32903551999999875</v>
      </c>
      <c r="J24" s="10">
        <v>-0.29000000000000142</v>
      </c>
      <c r="K24" s="10">
        <f t="shared" si="37"/>
        <v>-2.156005009999999</v>
      </c>
      <c r="L24" s="10">
        <v>0.103614</v>
      </c>
      <c r="M24" s="10">
        <v>-0.85509199999999996</v>
      </c>
      <c r="N24" s="10">
        <v>-1.3850549999999999</v>
      </c>
      <c r="O24" s="10">
        <v>-6.8845000000000045E-2</v>
      </c>
      <c r="P24" s="10">
        <f t="shared" si="38"/>
        <v>-2.2053780000000001</v>
      </c>
      <c r="Q24" s="10">
        <v>7.3914000000000007E-2</v>
      </c>
      <c r="R24" s="10">
        <v>6.1659000000000005E-2</v>
      </c>
      <c r="S24" s="10">
        <v>2.2593030000000005</v>
      </c>
      <c r="T24" s="10">
        <v>2.2932540000000001</v>
      </c>
      <c r="U24" s="10">
        <f t="shared" si="39"/>
        <v>4.688130000000001</v>
      </c>
      <c r="V24" s="10">
        <v>0</v>
      </c>
      <c r="W24" s="10">
        <v>0</v>
      </c>
      <c r="X24" s="10">
        <v>0.116177</v>
      </c>
      <c r="Y24" s="10">
        <v>-2.9999999999999997E-5</v>
      </c>
      <c r="Z24" s="10">
        <f t="shared" si="40"/>
        <v>0.116147</v>
      </c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</row>
    <row r="25" spans="1:84" customFormat="1" x14ac:dyDescent="0.3">
      <c r="A25" s="5" t="s">
        <v>124</v>
      </c>
      <c r="B25" s="10">
        <v>12.43400875</v>
      </c>
      <c r="C25" s="10">
        <v>14.38372779</v>
      </c>
      <c r="D25" s="10">
        <v>14.979263459999999</v>
      </c>
      <c r="E25" s="10">
        <v>21.945</v>
      </c>
      <c r="F25" s="10">
        <f t="shared" si="36"/>
        <v>63.741999999999997</v>
      </c>
      <c r="G25" s="10">
        <v>15.151114039999998</v>
      </c>
      <c r="H25" s="10">
        <v>17.09742846000001</v>
      </c>
      <c r="I25" s="10">
        <v>20.616849759999994</v>
      </c>
      <c r="J25" s="10">
        <v>22.197328060000007</v>
      </c>
      <c r="K25" s="10">
        <f t="shared" si="37"/>
        <v>75.062720320000011</v>
      </c>
      <c r="L25" s="10">
        <v>22.344651000000002</v>
      </c>
      <c r="M25" s="10">
        <v>11.046425999999993</v>
      </c>
      <c r="N25" s="10">
        <v>11.359466000000005</v>
      </c>
      <c r="O25" s="10">
        <v>12.250512999999998</v>
      </c>
      <c r="P25" s="10">
        <f t="shared" si="38"/>
        <v>57.001055999999998</v>
      </c>
      <c r="Q25" s="10">
        <v>14.233691</v>
      </c>
      <c r="R25" s="10">
        <v>15.047955</v>
      </c>
      <c r="S25" s="10">
        <v>15.975161</v>
      </c>
      <c r="T25" s="10">
        <v>13.148074000000001</v>
      </c>
      <c r="U25" s="10">
        <f t="shared" si="39"/>
        <v>58.404881000000003</v>
      </c>
      <c r="V25" s="10">
        <v>16.163413000000002</v>
      </c>
      <c r="W25" s="10">
        <v>15.452745999999999</v>
      </c>
      <c r="X25" s="10">
        <v>16.524605000000005</v>
      </c>
      <c r="Y25" s="10">
        <v>17.113922999999996</v>
      </c>
      <c r="Z25" s="10">
        <f t="shared" si="40"/>
        <v>65.254687000000004</v>
      </c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</row>
    <row r="26" spans="1:84" customFormat="1" x14ac:dyDescent="0.3">
      <c r="A26" s="6" t="s">
        <v>140</v>
      </c>
      <c r="B26" s="12">
        <f>+SUM(B23:B25)</f>
        <v>13.308763119999998</v>
      </c>
      <c r="C26" s="12">
        <f t="shared" ref="C26:L26" si="41">+SUM(C23:C25)</f>
        <v>13.568893290000002</v>
      </c>
      <c r="D26" s="12">
        <f t="shared" si="41"/>
        <v>14.979343589999999</v>
      </c>
      <c r="E26" s="12">
        <f t="shared" si="41"/>
        <v>21.65</v>
      </c>
      <c r="F26" s="12">
        <f t="shared" si="41"/>
        <v>63.506999999999998</v>
      </c>
      <c r="G26" s="12">
        <f t="shared" si="41"/>
        <v>14.771332199999998</v>
      </c>
      <c r="H26" s="12">
        <f t="shared" si="41"/>
        <v>15.931015810000012</v>
      </c>
      <c r="I26" s="12">
        <f t="shared" si="41"/>
        <v>20.259771319999995</v>
      </c>
      <c r="J26" s="12">
        <f t="shared" si="41"/>
        <v>21.907328060000005</v>
      </c>
      <c r="K26" s="12">
        <f t="shared" si="41"/>
        <v>72.869447390000005</v>
      </c>
      <c r="L26" s="12">
        <f t="shared" si="41"/>
        <v>22.439178000000002</v>
      </c>
      <c r="M26" s="12">
        <f t="shared" ref="M26:Q26" si="42">+SUM(M23:M25)</f>
        <v>10.188288999999994</v>
      </c>
      <c r="N26" s="12">
        <f t="shared" si="42"/>
        <v>9.9744110000000052</v>
      </c>
      <c r="O26" s="12">
        <f t="shared" si="42"/>
        <v>12.293991999999998</v>
      </c>
      <c r="P26" s="12">
        <f t="shared" si="42"/>
        <v>54.895869999999995</v>
      </c>
      <c r="Q26" s="12">
        <f t="shared" si="42"/>
        <v>14.662891</v>
      </c>
      <c r="R26" s="12">
        <f t="shared" ref="R26:Y26" si="43">+SUM(R23:R25)</f>
        <v>15.109614000000001</v>
      </c>
      <c r="S26" s="12">
        <f t="shared" si="43"/>
        <v>17.945954</v>
      </c>
      <c r="T26" s="12">
        <f t="shared" si="43"/>
        <v>15.194512000000001</v>
      </c>
      <c r="U26" s="12">
        <f t="shared" si="43"/>
        <v>62.912971000000006</v>
      </c>
      <c r="V26" s="12">
        <f t="shared" si="43"/>
        <v>16.133731000000001</v>
      </c>
      <c r="W26" s="12">
        <f t="shared" si="43"/>
        <v>15.38996</v>
      </c>
      <c r="X26" s="12">
        <f t="shared" si="43"/>
        <v>16.654506000000005</v>
      </c>
      <c r="Y26" s="12">
        <f t="shared" si="43"/>
        <v>17.174487999999997</v>
      </c>
      <c r="Z26" s="12">
        <f t="shared" ref="Z26" si="44">+SUM(Z23:Z25)</f>
        <v>65.352685000000008</v>
      </c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</row>
    <row r="27" spans="1:84" customFormat="1" x14ac:dyDescent="0.3">
      <c r="A27" s="42" t="s">
        <v>132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</row>
    <row r="28" spans="1:84" customFormat="1" x14ac:dyDescent="0.3">
      <c r="A28" s="5" t="s">
        <v>125</v>
      </c>
      <c r="B28" s="10">
        <f>+B3+B8+B13+B18+B23</f>
        <v>144.74545815286496</v>
      </c>
      <c r="C28" s="10">
        <f t="shared" ref="C28:E28" si="45">+C3+C8+C13+C18+C23</f>
        <v>151.11770076075805</v>
      </c>
      <c r="D28" s="10">
        <f t="shared" si="45"/>
        <v>127.98902165322848</v>
      </c>
      <c r="E28" s="10">
        <f t="shared" si="45"/>
        <v>164.46399999999994</v>
      </c>
      <c r="F28" s="10">
        <f t="shared" ref="F28:F30" si="46">+SUM(B28:E28)</f>
        <v>588.31618056685147</v>
      </c>
      <c r="G28" s="10">
        <f>+G3+G8+G13+G18+G23</f>
        <v>162.50417264253923</v>
      </c>
      <c r="H28" s="10">
        <f t="shared" ref="H28:I28" si="47">+H3+H8+H13+H18+H23</f>
        <v>172.33030445199631</v>
      </c>
      <c r="I28" s="10">
        <f t="shared" si="47"/>
        <v>158.17504599117174</v>
      </c>
      <c r="J28" s="10">
        <f>+J3+J8+J13+J18+J23</f>
        <v>203.37397611914218</v>
      </c>
      <c r="K28" s="10">
        <f>+SUM(G28:J28)</f>
        <v>696.3834992048495</v>
      </c>
      <c r="L28" s="10">
        <f>+L3+L8+L13+L18+L23</f>
        <v>203.57516799999999</v>
      </c>
      <c r="M28" s="10">
        <f>+M3+M8+M13+M18+M23</f>
        <v>210.49388799999997</v>
      </c>
      <c r="N28" s="10">
        <f>+N3+N8+N13+N18+N23</f>
        <v>193.09271800000005</v>
      </c>
      <c r="O28" s="10">
        <f>+O3+O8+O13+O18+O23</f>
        <v>262.37462500000004</v>
      </c>
      <c r="P28" s="10">
        <f>+SUM(L28:O28)</f>
        <v>869.53639899999996</v>
      </c>
      <c r="Q28" s="10">
        <f>+Q3+Q8+Q13+Q18+Q23</f>
        <v>259.86657099999996</v>
      </c>
      <c r="R28" s="10">
        <f>+R3+R8+R13+R18+R23</f>
        <v>287.93631199999999</v>
      </c>
      <c r="S28" s="10">
        <f>+S3+S8+S13+S18+S23</f>
        <v>247.51038300000002</v>
      </c>
      <c r="T28" s="10">
        <f>+T3+T8+T13+T18+T23</f>
        <v>310.38356599999997</v>
      </c>
      <c r="U28" s="10">
        <f t="shared" ref="U28:U31" si="48">+SUM(Q28:T28)</f>
        <v>1105.6968320000001</v>
      </c>
      <c r="V28" s="10">
        <f>+V3+V8+V13+V18+V23</f>
        <v>317.25235399999997</v>
      </c>
      <c r="W28" s="10">
        <f>+W3+W8+W13+W18+W23</f>
        <v>382.50351100000006</v>
      </c>
      <c r="X28" s="10">
        <f>+X3+X8+X13+X18+X23</f>
        <v>343.37034299999993</v>
      </c>
      <c r="Y28" s="10">
        <f>+Y3+Y8+Y13+Y18+Y23</f>
        <v>450.677595</v>
      </c>
      <c r="Z28" s="10">
        <f t="shared" ref="Z28:Z31" si="49">+SUM(V28:Y28)</f>
        <v>1493.8038030000002</v>
      </c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</row>
    <row r="29" spans="1:84" customFormat="1" x14ac:dyDescent="0.3">
      <c r="A29" s="5" t="s">
        <v>126</v>
      </c>
      <c r="B29" s="10">
        <f t="shared" ref="B29:E30" si="50">+B4+B9+B14+B19+B24</f>
        <v>119.64602203698702</v>
      </c>
      <c r="C29" s="10">
        <f t="shared" si="50"/>
        <v>201.94874207462931</v>
      </c>
      <c r="D29" s="10">
        <f t="shared" si="50"/>
        <v>95.707487719379387</v>
      </c>
      <c r="E29" s="10">
        <f t="shared" si="50"/>
        <v>186.46800000000002</v>
      </c>
      <c r="F29" s="10">
        <f t="shared" si="46"/>
        <v>603.77025183099568</v>
      </c>
      <c r="G29" s="10">
        <f t="shared" ref="G29:J30" si="51">+G4+G9+G14+G19+G24</f>
        <v>142.91046055592975</v>
      </c>
      <c r="H29" s="10">
        <f t="shared" si="51"/>
        <v>227.78147831218536</v>
      </c>
      <c r="I29" s="10">
        <f t="shared" si="51"/>
        <v>139.90811158392333</v>
      </c>
      <c r="J29" s="10">
        <f t="shared" si="51"/>
        <v>240.55588858788227</v>
      </c>
      <c r="K29" s="10">
        <f t="shared" ref="K29:K30" si="52">+SUM(G29:J29)</f>
        <v>751.15593903992067</v>
      </c>
      <c r="L29" s="10">
        <f t="shared" ref="L29:M30" si="53">+L4+L9+L14+L19+L24</f>
        <v>179.54582499999998</v>
      </c>
      <c r="M29" s="10">
        <f t="shared" si="53"/>
        <v>286.43628200000001</v>
      </c>
      <c r="N29" s="10">
        <f t="shared" ref="N29:O29" si="54">+N4+N9+N14+N19+N24</f>
        <v>200.95786499999994</v>
      </c>
      <c r="O29" s="10">
        <f t="shared" si="54"/>
        <v>260.61939200000006</v>
      </c>
      <c r="P29" s="10">
        <f t="shared" ref="P29:P30" si="55">+SUM(L29:O29)</f>
        <v>927.55936399999996</v>
      </c>
      <c r="Q29" s="10">
        <f t="shared" ref="Q29:R29" si="56">+Q4+Q9+Q14+Q19+Q24</f>
        <v>257.29100900000003</v>
      </c>
      <c r="R29" s="10">
        <f t="shared" si="56"/>
        <v>378.30689899999999</v>
      </c>
      <c r="S29" s="10">
        <f t="shared" ref="S29:T29" si="57">+S4+S9+S14+S19+S24</f>
        <v>244.68140099999997</v>
      </c>
      <c r="T29" s="10">
        <f t="shared" si="57"/>
        <v>356.73743499999995</v>
      </c>
      <c r="U29" s="10">
        <f t="shared" si="48"/>
        <v>1237.0167439999998</v>
      </c>
      <c r="V29" s="10">
        <f t="shared" ref="V29:W29" si="58">+V4+V9+V14+V19+V24</f>
        <v>316.85186699999997</v>
      </c>
      <c r="W29" s="10">
        <f t="shared" si="58"/>
        <v>432.05269600000008</v>
      </c>
      <c r="X29" s="10">
        <f t="shared" ref="X29:Y29" si="59">+X4+X9+X14+X19+X24</f>
        <v>303.53603700000008</v>
      </c>
      <c r="Y29" s="10">
        <f t="shared" si="59"/>
        <v>502.85177074079002</v>
      </c>
      <c r="Z29" s="10">
        <f t="shared" si="49"/>
        <v>1555.2923707407901</v>
      </c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</row>
    <row r="30" spans="1:84" customFormat="1" x14ac:dyDescent="0.3">
      <c r="A30" s="5" t="s">
        <v>124</v>
      </c>
      <c r="B30" s="10">
        <f t="shared" si="50"/>
        <v>17.297506229062002</v>
      </c>
      <c r="C30" s="10">
        <f t="shared" si="50"/>
        <v>16.394493770938002</v>
      </c>
      <c r="D30" s="10">
        <f t="shared" si="50"/>
        <v>16.548192630803257</v>
      </c>
      <c r="E30" s="10">
        <f>+E5+E10+E15+E20+E25</f>
        <v>23.72</v>
      </c>
      <c r="F30" s="10">
        <f t="shared" si="46"/>
        <v>73.960192630803263</v>
      </c>
      <c r="G30" s="10">
        <f t="shared" si="51"/>
        <v>17.604953289290389</v>
      </c>
      <c r="H30" s="10">
        <f t="shared" si="51"/>
        <v>20.144237623761718</v>
      </c>
      <c r="I30" s="10">
        <f t="shared" si="51"/>
        <v>23.265192724928259</v>
      </c>
      <c r="J30" s="10">
        <f t="shared" si="51"/>
        <v>27.225183571365648</v>
      </c>
      <c r="K30" s="10">
        <f t="shared" si="52"/>
        <v>88.239567209346006</v>
      </c>
      <c r="L30" s="10">
        <f t="shared" si="53"/>
        <v>25.277222000000002</v>
      </c>
      <c r="M30" s="10">
        <f t="shared" si="53"/>
        <v>12.407626999999993</v>
      </c>
      <c r="N30" s="10">
        <f t="shared" ref="N30:O30" si="60">+N5+N10+N15+N20+N25</f>
        <v>14.354419000000005</v>
      </c>
      <c r="O30" s="10">
        <f t="shared" si="60"/>
        <v>15.991236999999998</v>
      </c>
      <c r="P30" s="10">
        <f t="shared" si="55"/>
        <v>68.030505000000005</v>
      </c>
      <c r="Q30" s="10">
        <f t="shared" ref="Q30:R30" si="61">+Q5+Q10+Q15+Q20+Q25</f>
        <v>15.204493000000001</v>
      </c>
      <c r="R30" s="10">
        <f t="shared" si="61"/>
        <v>21.379812000000001</v>
      </c>
      <c r="S30" s="10">
        <f t="shared" ref="S30:T30" si="62">+S5+S10+S15+S20+S25</f>
        <v>20.576408000000001</v>
      </c>
      <c r="T30" s="10">
        <f t="shared" si="62"/>
        <v>17.167337000000003</v>
      </c>
      <c r="U30" s="10">
        <f t="shared" si="48"/>
        <v>74.328050000000005</v>
      </c>
      <c r="V30" s="10">
        <f t="shared" ref="V30:W30" si="63">+V5+V10+V15+V20+V25</f>
        <v>18.952686000000003</v>
      </c>
      <c r="W30" s="10">
        <f t="shared" si="63"/>
        <v>16.849692000000001</v>
      </c>
      <c r="X30" s="10">
        <f t="shared" ref="X30:Y30" si="64">+X5+X10+X15+X20+X25</f>
        <v>20.364053000000006</v>
      </c>
      <c r="Y30" s="10">
        <f t="shared" si="64"/>
        <v>22.218047999999996</v>
      </c>
      <c r="Z30" s="10">
        <f t="shared" si="49"/>
        <v>78.384478999999999</v>
      </c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</row>
    <row r="31" spans="1:84" customFormat="1" x14ac:dyDescent="0.3">
      <c r="A31" s="5" t="s">
        <v>116</v>
      </c>
      <c r="B31" s="10">
        <v>-11.900457880632759</v>
      </c>
      <c r="C31" s="10">
        <v>-12.905540208080351</v>
      </c>
      <c r="D31" s="10">
        <v>-12.437732952511666</v>
      </c>
      <c r="E31" s="10">
        <v>-13.001983136445167</v>
      </c>
      <c r="F31" s="10">
        <v>-50.245714177669946</v>
      </c>
      <c r="G31" s="10">
        <v>-13.28448965978501</v>
      </c>
      <c r="H31" s="10">
        <v>-12.727148291308589</v>
      </c>
      <c r="I31" s="10">
        <v>-11.503582229365765</v>
      </c>
      <c r="J31" s="10">
        <v>-12.155875015307386</v>
      </c>
      <c r="K31" s="10">
        <v>-49.671095195766753</v>
      </c>
      <c r="L31" s="10">
        <v>-13.144727999999999</v>
      </c>
      <c r="M31" s="10">
        <v>-15.605562000000001</v>
      </c>
      <c r="N31" s="10">
        <v>-15.259415000000004</v>
      </c>
      <c r="O31" s="10">
        <v>-12.405659999999997</v>
      </c>
      <c r="P31" s="10">
        <f>+SUM(L31:O31)</f>
        <v>-56.415365000000001</v>
      </c>
      <c r="Q31" s="10">
        <v>-17.155806999999999</v>
      </c>
      <c r="R31" s="10">
        <v>-21.783953999999998</v>
      </c>
      <c r="S31" s="10">
        <v>-16.463665000000002</v>
      </c>
      <c r="T31" s="10">
        <v>-16.853386000000008</v>
      </c>
      <c r="U31" s="10">
        <f t="shared" si="48"/>
        <v>-72.256811999999996</v>
      </c>
      <c r="V31" s="10">
        <v>-18.115749999999998</v>
      </c>
      <c r="W31" s="10">
        <v>-19.788588000000004</v>
      </c>
      <c r="X31" s="10">
        <v>-25.499108999999997</v>
      </c>
      <c r="Y31" s="10">
        <v>-24.329919999999998</v>
      </c>
      <c r="Z31" s="10">
        <f t="shared" si="49"/>
        <v>-87.733367000000001</v>
      </c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</row>
    <row r="32" spans="1:84" customFormat="1" x14ac:dyDescent="0.3">
      <c r="A32" s="35" t="s">
        <v>141</v>
      </c>
      <c r="B32" s="14">
        <f>+SUM(B28:B31)</f>
        <v>269.78852853828118</v>
      </c>
      <c r="C32" s="14">
        <f t="shared" ref="C32:L32" si="65">+SUM(C28:C31)</f>
        <v>356.55539639824502</v>
      </c>
      <c r="D32" s="14">
        <f t="shared" si="65"/>
        <v>227.80696905089945</v>
      </c>
      <c r="E32" s="14">
        <f t="shared" si="65"/>
        <v>361.65001686355475</v>
      </c>
      <c r="F32" s="14">
        <f t="shared" si="65"/>
        <v>1215.8009108509805</v>
      </c>
      <c r="G32" s="14">
        <f>+SUM(G28:G31)</f>
        <v>309.73509682797442</v>
      </c>
      <c r="H32" s="14">
        <f t="shared" si="65"/>
        <v>407.52887209663481</v>
      </c>
      <c r="I32" s="14">
        <f t="shared" si="65"/>
        <v>309.84476807065761</v>
      </c>
      <c r="J32" s="14">
        <f t="shared" si="65"/>
        <v>458.99917326308264</v>
      </c>
      <c r="K32" s="14">
        <f>+SUM(K28:K31)</f>
        <v>1486.1079102583494</v>
      </c>
      <c r="L32" s="14">
        <f t="shared" si="65"/>
        <v>395.25348700000001</v>
      </c>
      <c r="M32" s="14">
        <f>+SUM(M28:M31)</f>
        <v>493.73223499999995</v>
      </c>
      <c r="N32" s="14">
        <f t="shared" ref="N32" si="66">+SUM(N28:N31)</f>
        <v>393.14558699999998</v>
      </c>
      <c r="O32" s="14">
        <f t="shared" ref="O32" si="67">+SUM(O28:O31)</f>
        <v>526.57959400000004</v>
      </c>
      <c r="P32" s="14">
        <f t="shared" ref="P32:Y32" si="68">+SUM(P28:P31)</f>
        <v>1808.7109029999997</v>
      </c>
      <c r="Q32" s="14">
        <f t="shared" si="68"/>
        <v>515.20626600000003</v>
      </c>
      <c r="R32" s="14">
        <f t="shared" si="68"/>
        <v>665.83906899999999</v>
      </c>
      <c r="S32" s="14">
        <f t="shared" si="68"/>
        <v>496.30452700000001</v>
      </c>
      <c r="T32" s="14">
        <f t="shared" si="68"/>
        <v>667.43495199999995</v>
      </c>
      <c r="U32" s="14">
        <f t="shared" si="68"/>
        <v>2344.7848140000001</v>
      </c>
      <c r="V32" s="14">
        <f t="shared" si="68"/>
        <v>634.94115699999986</v>
      </c>
      <c r="W32" s="14">
        <f t="shared" si="68"/>
        <v>811.61731100000009</v>
      </c>
      <c r="X32" s="14">
        <f t="shared" si="68"/>
        <v>641.77132400000005</v>
      </c>
      <c r="Y32" s="14">
        <f t="shared" si="68"/>
        <v>951.41749374078995</v>
      </c>
      <c r="Z32" s="14">
        <f t="shared" ref="Z32" si="69">+SUM(Z28:Z31)</f>
        <v>3039.7472857407906</v>
      </c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</row>
    <row r="33" spans="1:27" s="15" customFormat="1" x14ac:dyDescent="0.3">
      <c r="B33" s="54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 spans="1:27" s="15" customFormat="1" x14ac:dyDescent="0.3">
      <c r="B34" s="54"/>
      <c r="C34" s="54"/>
      <c r="D34" s="54"/>
      <c r="E34" s="54"/>
      <c r="F34" s="54"/>
      <c r="G34" s="54"/>
      <c r="H34" s="54"/>
      <c r="I34" s="54"/>
      <c r="J34" s="79"/>
      <c r="K34" s="79"/>
      <c r="L34" s="79"/>
      <c r="M34" s="79"/>
      <c r="N34" s="83"/>
      <c r="O34" s="83"/>
      <c r="P34" s="79"/>
      <c r="Q34" s="79"/>
      <c r="R34" s="79"/>
      <c r="S34" s="79"/>
      <c r="T34" s="79"/>
      <c r="U34" s="79"/>
      <c r="V34" s="79"/>
      <c r="W34" s="79"/>
      <c r="X34" s="83"/>
      <c r="Y34" s="83"/>
      <c r="Z34" s="79"/>
      <c r="AA34" s="83"/>
    </row>
    <row r="35" spans="1:27" s="15" customFormat="1" x14ac:dyDescent="0.3">
      <c r="B35" s="54"/>
      <c r="C35" s="54"/>
      <c r="D35" s="54"/>
      <c r="E35" s="54"/>
      <c r="F35" s="54"/>
      <c r="G35" s="54"/>
      <c r="H35" s="54"/>
      <c r="I35" s="54"/>
      <c r="J35" s="79"/>
      <c r="K35" s="79"/>
      <c r="L35" s="79"/>
      <c r="M35" s="79"/>
      <c r="N35" s="83"/>
      <c r="O35" s="83"/>
      <c r="P35" s="79"/>
      <c r="Q35" s="79"/>
      <c r="R35" s="79"/>
      <c r="S35" s="79"/>
      <c r="T35" s="79"/>
      <c r="U35" s="79"/>
      <c r="V35" s="79"/>
      <c r="W35" s="79"/>
      <c r="X35" s="83"/>
      <c r="Y35" s="83"/>
      <c r="Z35" s="79"/>
      <c r="AA35" s="83"/>
    </row>
    <row r="36" spans="1:27" s="83" customFormat="1" x14ac:dyDescent="0.3">
      <c r="A36" s="15"/>
      <c r="B36" s="54"/>
      <c r="C36" s="54"/>
      <c r="D36" s="79"/>
      <c r="E36" s="79"/>
      <c r="F36" s="79"/>
      <c r="G36" s="79"/>
      <c r="H36" s="79"/>
      <c r="I36" s="79"/>
      <c r="J36" s="79"/>
      <c r="K36" s="79"/>
      <c r="L36" s="79"/>
      <c r="M36" s="79"/>
      <c r="P36" s="79"/>
      <c r="Q36" s="79"/>
      <c r="R36" s="79"/>
      <c r="S36" s="79"/>
      <c r="T36" s="79"/>
      <c r="U36" s="79"/>
      <c r="V36" s="79"/>
      <c r="W36" s="79"/>
      <c r="Z36" s="79"/>
    </row>
    <row r="37" spans="1:27" s="83" customFormat="1" x14ac:dyDescent="0.3">
      <c r="A37" s="15"/>
      <c r="B37" s="54"/>
      <c r="C37" s="54"/>
      <c r="D37" s="79"/>
      <c r="E37" s="79"/>
      <c r="F37" s="79"/>
      <c r="G37" s="79"/>
      <c r="H37" s="79"/>
      <c r="I37" s="79"/>
      <c r="J37" s="79"/>
      <c r="K37" s="79"/>
      <c r="L37" s="79"/>
      <c r="M37" s="79"/>
      <c r="P37" s="79"/>
      <c r="Q37" s="79"/>
      <c r="R37" s="79"/>
      <c r="S37" s="79"/>
      <c r="T37" s="79"/>
      <c r="U37" s="79"/>
      <c r="V37" s="79"/>
      <c r="W37" s="79"/>
      <c r="Z37" s="79"/>
    </row>
    <row r="38" spans="1:27" s="83" customFormat="1" x14ac:dyDescent="0.3">
      <c r="A38" s="15"/>
      <c r="B38" s="16"/>
      <c r="C38" s="16"/>
      <c r="D38" s="87"/>
      <c r="E38" s="87"/>
      <c r="F38" s="87"/>
      <c r="G38" s="87"/>
      <c r="H38" s="87"/>
      <c r="I38" s="87"/>
      <c r="J38" s="87"/>
      <c r="K38" s="87"/>
      <c r="L38" s="87"/>
      <c r="M38" s="87"/>
      <c r="P38" s="87"/>
      <c r="Q38" s="87"/>
      <c r="R38" s="87"/>
      <c r="S38" s="87"/>
      <c r="T38" s="87"/>
      <c r="U38" s="87"/>
      <c r="V38" s="87"/>
      <c r="W38" s="87"/>
      <c r="Z38" s="87"/>
    </row>
    <row r="39" spans="1:27" s="83" customFormat="1" x14ac:dyDescent="0.3">
      <c r="A39" s="15" t="s">
        <v>142</v>
      </c>
      <c r="B39" s="16"/>
      <c r="C39" s="16"/>
      <c r="D39" s="87"/>
      <c r="E39" s="87"/>
      <c r="F39" s="87"/>
      <c r="G39" s="87"/>
      <c r="H39" s="87"/>
      <c r="I39" s="87"/>
      <c r="J39" s="87"/>
      <c r="K39" s="87"/>
      <c r="L39" s="87"/>
      <c r="M39" s="87"/>
      <c r="P39" s="87"/>
      <c r="Q39" s="87"/>
      <c r="R39" s="87"/>
      <c r="S39" s="87"/>
      <c r="T39" s="87"/>
      <c r="U39" s="87"/>
      <c r="V39" s="87"/>
      <c r="W39" s="87"/>
      <c r="Z39" s="87"/>
    </row>
    <row r="40" spans="1:27" s="83" customFormat="1" x14ac:dyDescent="0.3">
      <c r="A40" s="15" t="s">
        <v>143</v>
      </c>
      <c r="B40" s="16"/>
      <c r="C40" s="16"/>
      <c r="D40" s="87"/>
      <c r="E40" s="87"/>
      <c r="F40" s="87"/>
      <c r="G40" s="87"/>
      <c r="H40" s="87"/>
      <c r="I40" s="87"/>
      <c r="J40" s="87"/>
      <c r="K40" s="87"/>
      <c r="L40" s="87"/>
      <c r="M40" s="87"/>
      <c r="P40" s="87"/>
      <c r="Q40" s="87"/>
      <c r="R40" s="87"/>
      <c r="S40" s="87"/>
      <c r="T40" s="87"/>
      <c r="U40" s="87"/>
      <c r="V40" s="87"/>
      <c r="W40" s="87"/>
      <c r="Z40" s="87"/>
    </row>
    <row r="41" spans="1:27" s="83" customFormat="1" x14ac:dyDescent="0.3">
      <c r="A41" s="15" t="s">
        <v>144</v>
      </c>
      <c r="B41" s="16"/>
      <c r="C41" s="16"/>
      <c r="D41" s="87"/>
      <c r="E41" s="87"/>
      <c r="F41" s="87"/>
      <c r="G41" s="87"/>
      <c r="H41" s="87"/>
      <c r="I41" s="87"/>
      <c r="J41" s="87"/>
      <c r="K41" s="87"/>
      <c r="L41" s="87"/>
      <c r="P41" s="87"/>
      <c r="Q41" s="87"/>
      <c r="R41" s="87"/>
      <c r="S41" s="87"/>
      <c r="T41" s="87"/>
      <c r="U41" s="87"/>
      <c r="V41" s="87"/>
      <c r="W41" s="87"/>
      <c r="Z41" s="87"/>
    </row>
    <row r="42" spans="1:27" s="83" customFormat="1" x14ac:dyDescent="0.3">
      <c r="A42" s="15" t="s">
        <v>145</v>
      </c>
      <c r="B42" s="16"/>
      <c r="C42" s="16"/>
      <c r="D42" s="87"/>
      <c r="E42" s="87"/>
      <c r="F42" s="87"/>
      <c r="G42" s="87"/>
      <c r="H42" s="87"/>
      <c r="I42" s="87"/>
      <c r="J42" s="87"/>
      <c r="K42" s="87"/>
      <c r="L42" s="87"/>
      <c r="P42" s="87"/>
      <c r="Q42" s="87"/>
      <c r="R42" s="87"/>
      <c r="S42" s="87"/>
      <c r="T42" s="87"/>
      <c r="U42" s="87"/>
      <c r="V42" s="87"/>
      <c r="W42" s="87"/>
      <c r="Z42" s="87"/>
    </row>
    <row r="43" spans="1:27" s="83" customFormat="1" x14ac:dyDescent="0.3">
      <c r="A43" s="15" t="s">
        <v>135</v>
      </c>
      <c r="B43" s="16"/>
      <c r="C43" s="16"/>
      <c r="D43" s="87"/>
      <c r="E43" s="87"/>
      <c r="F43" s="87"/>
      <c r="G43" s="87"/>
      <c r="H43" s="87"/>
      <c r="I43" s="87"/>
      <c r="J43" s="87"/>
      <c r="K43" s="87"/>
      <c r="L43" s="87"/>
      <c r="P43" s="87"/>
      <c r="Q43" s="87"/>
      <c r="R43" s="87"/>
      <c r="S43" s="87"/>
      <c r="T43" s="87"/>
      <c r="U43" s="87"/>
      <c r="V43" s="87"/>
      <c r="W43" s="87"/>
      <c r="Z43" s="87"/>
    </row>
    <row r="44" spans="1:27" s="83" customFormat="1" x14ac:dyDescent="0.3">
      <c r="A44" s="15" t="s">
        <v>146</v>
      </c>
      <c r="B44" s="16"/>
      <c r="C44" s="16"/>
      <c r="D44" s="87"/>
      <c r="E44" s="87"/>
      <c r="F44" s="87"/>
      <c r="G44" s="87"/>
      <c r="H44" s="87"/>
      <c r="I44" s="87"/>
      <c r="J44" s="87"/>
      <c r="K44" s="87"/>
      <c r="L44" s="87"/>
      <c r="P44" s="87"/>
      <c r="Q44" s="87"/>
      <c r="R44" s="87"/>
      <c r="S44" s="87"/>
      <c r="T44" s="87"/>
      <c r="U44" s="87"/>
      <c r="V44" s="87"/>
      <c r="W44" s="87"/>
      <c r="Z44" s="87"/>
    </row>
    <row r="45" spans="1:27" s="83" customFormat="1" x14ac:dyDescent="0.3">
      <c r="A45" s="15"/>
      <c r="B45" s="16"/>
      <c r="C45" s="16"/>
      <c r="D45" s="87"/>
      <c r="E45" s="87"/>
      <c r="F45" s="87"/>
      <c r="G45" s="87"/>
      <c r="H45" s="87"/>
      <c r="I45" s="87"/>
      <c r="J45" s="87"/>
      <c r="K45" s="87"/>
      <c r="L45" s="87"/>
      <c r="P45" s="87"/>
      <c r="Q45" s="87"/>
      <c r="R45" s="87"/>
      <c r="S45" s="87"/>
      <c r="T45" s="87"/>
      <c r="U45" s="87"/>
      <c r="V45" s="87"/>
      <c r="W45" s="87"/>
      <c r="Z45" s="87"/>
    </row>
    <row r="46" spans="1:27" s="83" customFormat="1" x14ac:dyDescent="0.3">
      <c r="A46" s="15"/>
      <c r="B46" s="16"/>
      <c r="C46" s="16"/>
      <c r="D46" s="87"/>
      <c r="E46" s="87"/>
      <c r="F46" s="87"/>
      <c r="G46" s="87"/>
      <c r="H46" s="87"/>
      <c r="I46" s="87"/>
      <c r="J46" s="87"/>
      <c r="K46" s="87"/>
      <c r="L46" s="87"/>
      <c r="P46" s="87"/>
      <c r="Q46" s="87"/>
      <c r="R46" s="87"/>
      <c r="S46" s="87"/>
      <c r="T46" s="87"/>
      <c r="U46" s="87"/>
      <c r="V46" s="87"/>
      <c r="W46" s="87"/>
      <c r="Z46" s="87"/>
    </row>
    <row r="47" spans="1:27" s="83" customFormat="1" x14ac:dyDescent="0.3">
      <c r="A47" s="15" t="s">
        <v>147</v>
      </c>
      <c r="B47" s="16"/>
      <c r="C47" s="16"/>
      <c r="D47" s="87"/>
      <c r="E47" s="87"/>
      <c r="F47" s="87"/>
      <c r="G47" s="87"/>
      <c r="H47" s="87"/>
      <c r="I47" s="87"/>
      <c r="J47" s="87"/>
      <c r="K47" s="87"/>
      <c r="L47" s="87"/>
      <c r="P47" s="87"/>
      <c r="Q47" s="87"/>
      <c r="R47" s="87"/>
      <c r="S47" s="87"/>
      <c r="T47" s="87"/>
      <c r="U47" s="87"/>
      <c r="V47" s="87"/>
      <c r="W47" s="87"/>
      <c r="Z47" s="87"/>
    </row>
    <row r="48" spans="1:27" s="83" customFormat="1" x14ac:dyDescent="0.3">
      <c r="A48" s="15" t="s">
        <v>142</v>
      </c>
      <c r="B48" s="16"/>
      <c r="C48" s="16"/>
      <c r="D48" s="87"/>
      <c r="E48" s="87"/>
      <c r="F48" s="87"/>
      <c r="G48" s="87"/>
      <c r="H48" s="87"/>
      <c r="I48" s="87"/>
      <c r="J48" s="87"/>
      <c r="K48" s="87"/>
      <c r="L48" s="87"/>
      <c r="P48" s="87"/>
      <c r="Q48" s="87"/>
      <c r="R48" s="87"/>
      <c r="S48" s="87"/>
      <c r="T48" s="87"/>
      <c r="U48" s="87"/>
      <c r="V48" s="87"/>
      <c r="W48" s="87"/>
      <c r="Z48" s="87"/>
    </row>
    <row r="49" spans="1:26" s="83" customFormat="1" x14ac:dyDescent="0.3">
      <c r="A49" s="15" t="s">
        <v>143</v>
      </c>
      <c r="B49" s="16"/>
      <c r="C49" s="16"/>
      <c r="D49" s="87"/>
      <c r="E49" s="87"/>
      <c r="F49" s="87"/>
      <c r="G49" s="87"/>
      <c r="H49" s="87"/>
      <c r="I49" s="87"/>
      <c r="J49" s="87"/>
      <c r="K49" s="87"/>
      <c r="L49" s="87"/>
      <c r="P49" s="87"/>
      <c r="Q49" s="87"/>
      <c r="R49" s="87"/>
      <c r="S49" s="87"/>
      <c r="T49" s="87"/>
      <c r="U49" s="87"/>
      <c r="V49" s="87"/>
      <c r="W49" s="87"/>
      <c r="Z49" s="87"/>
    </row>
    <row r="50" spans="1:26" s="83" customFormat="1" x14ac:dyDescent="0.3">
      <c r="A50" s="15" t="s">
        <v>144</v>
      </c>
      <c r="B50" s="16"/>
      <c r="C50" s="16"/>
      <c r="D50" s="87"/>
      <c r="E50" s="87"/>
      <c r="F50" s="87"/>
      <c r="G50" s="87"/>
      <c r="H50" s="87"/>
      <c r="I50" s="87"/>
      <c r="J50" s="87"/>
      <c r="K50" s="87"/>
      <c r="L50" s="87"/>
      <c r="P50" s="87"/>
      <c r="Q50" s="87"/>
      <c r="R50" s="87"/>
      <c r="S50" s="87"/>
      <c r="T50" s="87"/>
      <c r="U50" s="87"/>
      <c r="V50" s="87"/>
      <c r="W50" s="87"/>
      <c r="Z50" s="87"/>
    </row>
    <row r="51" spans="1:26" s="83" customFormat="1" x14ac:dyDescent="0.3">
      <c r="A51" s="15" t="s">
        <v>145</v>
      </c>
      <c r="B51" s="16"/>
      <c r="C51" s="16"/>
      <c r="D51" s="87"/>
      <c r="E51" s="87"/>
      <c r="F51" s="87"/>
      <c r="G51" s="87"/>
      <c r="H51" s="87"/>
      <c r="I51" s="87"/>
      <c r="J51" s="87"/>
      <c r="K51" s="87"/>
      <c r="L51" s="87"/>
      <c r="P51" s="87"/>
      <c r="Q51" s="87"/>
      <c r="R51" s="87"/>
      <c r="S51" s="87"/>
      <c r="T51" s="87"/>
      <c r="U51" s="87"/>
      <c r="V51" s="87"/>
      <c r="W51" s="87"/>
      <c r="Z51" s="87"/>
    </row>
    <row r="52" spans="1:26" s="83" customFormat="1" x14ac:dyDescent="0.3">
      <c r="A52" s="15" t="s">
        <v>135</v>
      </c>
      <c r="B52" s="16"/>
      <c r="C52" s="16"/>
      <c r="D52" s="87"/>
      <c r="E52" s="87"/>
      <c r="F52" s="87"/>
      <c r="G52" s="87"/>
      <c r="H52" s="87"/>
      <c r="I52" s="87"/>
      <c r="J52" s="87"/>
      <c r="K52" s="87"/>
      <c r="L52" s="87"/>
      <c r="P52" s="87"/>
      <c r="Q52" s="87"/>
      <c r="R52" s="87"/>
      <c r="S52" s="87"/>
      <c r="T52" s="87"/>
      <c r="U52" s="87"/>
      <c r="V52" s="87"/>
      <c r="W52" s="87"/>
      <c r="Z52" s="87"/>
    </row>
    <row r="53" spans="1:26" s="83" customFormat="1" x14ac:dyDescent="0.3">
      <c r="A53" s="15" t="s">
        <v>146</v>
      </c>
      <c r="B53" s="16"/>
      <c r="C53" s="16"/>
      <c r="D53" s="87"/>
      <c r="E53" s="87"/>
      <c r="F53" s="87"/>
      <c r="G53" s="87"/>
      <c r="H53" s="87"/>
      <c r="I53" s="87"/>
      <c r="J53" s="87"/>
      <c r="K53" s="87"/>
      <c r="L53" s="87"/>
      <c r="P53" s="87"/>
      <c r="Q53" s="87"/>
      <c r="R53" s="87"/>
      <c r="S53" s="87"/>
      <c r="T53" s="87"/>
      <c r="U53" s="87"/>
      <c r="V53" s="87"/>
      <c r="W53" s="87"/>
      <c r="Z53" s="87"/>
    </row>
    <row r="54" spans="1:26" s="83" customFormat="1" x14ac:dyDescent="0.3">
      <c r="A54" s="15"/>
      <c r="B54" s="15"/>
      <c r="C54" s="15"/>
    </row>
    <row r="55" spans="1:26" s="83" customFormat="1" x14ac:dyDescent="0.3">
      <c r="A55" s="15"/>
      <c r="B55" s="15"/>
      <c r="C55" s="15"/>
    </row>
    <row r="56" spans="1:26" s="83" customFormat="1" x14ac:dyDescent="0.3">
      <c r="A56" s="15"/>
      <c r="B56" s="15"/>
      <c r="C56" s="15"/>
    </row>
    <row r="57" spans="1:26" s="83" customFormat="1" x14ac:dyDescent="0.3">
      <c r="A57" s="15"/>
      <c r="B57" s="15"/>
      <c r="C57" s="15"/>
    </row>
    <row r="58" spans="1:26" s="83" customFormat="1" x14ac:dyDescent="0.3">
      <c r="A58" s="15"/>
      <c r="B58" s="15"/>
      <c r="C58" s="15"/>
    </row>
    <row r="59" spans="1:26" s="83" customFormat="1" x14ac:dyDescent="0.3">
      <c r="A59" s="15"/>
      <c r="B59" s="15"/>
      <c r="C59" s="15"/>
    </row>
    <row r="60" spans="1:26" s="83" customFormat="1" x14ac:dyDescent="0.3">
      <c r="A60" s="15"/>
      <c r="B60" s="15"/>
      <c r="C60" s="15"/>
    </row>
    <row r="61" spans="1:26" s="83" customFormat="1" x14ac:dyDescent="0.3">
      <c r="A61" s="15"/>
      <c r="B61" s="15"/>
      <c r="C61" s="15"/>
    </row>
    <row r="62" spans="1:26" s="83" customFormat="1" x14ac:dyDescent="0.3">
      <c r="A62" s="15"/>
      <c r="B62" s="15"/>
      <c r="C62" s="15"/>
    </row>
    <row r="63" spans="1:26" s="83" customFormat="1" x14ac:dyDescent="0.3">
      <c r="A63" s="15"/>
      <c r="B63" s="15"/>
      <c r="C63" s="15"/>
    </row>
    <row r="64" spans="1:26" s="83" customFormat="1" x14ac:dyDescent="0.3">
      <c r="A64" s="15"/>
      <c r="B64" s="15"/>
      <c r="C64" s="15"/>
    </row>
    <row r="65" spans="1:3" s="83" customFormat="1" x14ac:dyDescent="0.3">
      <c r="A65" s="15"/>
      <c r="B65" s="15"/>
      <c r="C65" s="15"/>
    </row>
    <row r="66" spans="1:3" s="83" customFormat="1" x14ac:dyDescent="0.3">
      <c r="A66" s="15"/>
      <c r="B66" s="15"/>
      <c r="C66" s="15"/>
    </row>
    <row r="67" spans="1:3" s="83" customFormat="1" x14ac:dyDescent="0.3">
      <c r="A67" s="15"/>
      <c r="B67" s="15"/>
      <c r="C67" s="15"/>
    </row>
    <row r="68" spans="1:3" s="83" customFormat="1" x14ac:dyDescent="0.3">
      <c r="A68" s="15"/>
      <c r="B68" s="15"/>
      <c r="C68" s="15"/>
    </row>
    <row r="69" spans="1:3" s="83" customFormat="1" x14ac:dyDescent="0.3">
      <c r="A69" s="15"/>
      <c r="B69" s="15"/>
      <c r="C69" s="15"/>
    </row>
    <row r="70" spans="1:3" s="83" customFormat="1" x14ac:dyDescent="0.3">
      <c r="A70" s="15"/>
      <c r="B70" s="15"/>
      <c r="C70" s="15"/>
    </row>
    <row r="71" spans="1:3" s="83" customFormat="1" x14ac:dyDescent="0.3">
      <c r="A71" s="15"/>
      <c r="B71" s="15"/>
      <c r="C71" s="15"/>
    </row>
    <row r="72" spans="1:3" s="83" customFormat="1" x14ac:dyDescent="0.3">
      <c r="A72" s="15"/>
      <c r="B72" s="15"/>
      <c r="C72" s="15"/>
    </row>
    <row r="73" spans="1:3" s="83" customFormat="1" x14ac:dyDescent="0.3">
      <c r="A73" s="15"/>
      <c r="B73" s="15"/>
      <c r="C73" s="15"/>
    </row>
    <row r="74" spans="1:3" s="83" customFormat="1" x14ac:dyDescent="0.3">
      <c r="A74" s="15"/>
      <c r="B74" s="15"/>
      <c r="C74" s="15"/>
    </row>
    <row r="75" spans="1:3" s="83" customFormat="1" x14ac:dyDescent="0.3">
      <c r="A75" s="15"/>
      <c r="B75" s="15"/>
      <c r="C75" s="15"/>
    </row>
    <row r="76" spans="1:3" s="83" customFormat="1" x14ac:dyDescent="0.3">
      <c r="A76" s="15"/>
      <c r="B76" s="15"/>
      <c r="C76" s="15"/>
    </row>
    <row r="77" spans="1:3" s="83" customFormat="1" x14ac:dyDescent="0.3">
      <c r="A77" s="15"/>
      <c r="B77" s="15"/>
      <c r="C77" s="15"/>
    </row>
    <row r="78" spans="1:3" s="83" customFormat="1" x14ac:dyDescent="0.3">
      <c r="A78" s="15"/>
      <c r="B78" s="15"/>
      <c r="C78" s="15"/>
    </row>
    <row r="79" spans="1:3" s="83" customFormat="1" x14ac:dyDescent="0.3">
      <c r="A79" s="15"/>
      <c r="B79" s="15"/>
      <c r="C79" s="15"/>
    </row>
    <row r="80" spans="1:3" s="83" customFormat="1" x14ac:dyDescent="0.3">
      <c r="A80" s="15"/>
      <c r="B80" s="15"/>
      <c r="C80" s="15"/>
    </row>
    <row r="81" spans="1:3" s="83" customFormat="1" x14ac:dyDescent="0.3">
      <c r="A81" s="15"/>
      <c r="B81" s="15"/>
      <c r="C81" s="15"/>
    </row>
    <row r="82" spans="1:3" s="83" customFormat="1" x14ac:dyDescent="0.3">
      <c r="A82" s="15"/>
      <c r="B82" s="15"/>
      <c r="C82" s="15"/>
    </row>
    <row r="83" spans="1:3" s="83" customFormat="1" x14ac:dyDescent="0.3">
      <c r="A83" s="15"/>
      <c r="B83" s="15"/>
      <c r="C83" s="15"/>
    </row>
    <row r="84" spans="1:3" s="83" customFormat="1" x14ac:dyDescent="0.3">
      <c r="A84" s="15"/>
      <c r="B84" s="15"/>
      <c r="C84" s="15"/>
    </row>
    <row r="85" spans="1:3" s="83" customFormat="1" x14ac:dyDescent="0.3">
      <c r="A85" s="15"/>
      <c r="B85" s="15"/>
      <c r="C85" s="15"/>
    </row>
    <row r="86" spans="1:3" s="83" customFormat="1" x14ac:dyDescent="0.3">
      <c r="A86" s="15"/>
      <c r="B86" s="15"/>
      <c r="C86" s="15"/>
    </row>
    <row r="87" spans="1:3" s="83" customFormat="1" x14ac:dyDescent="0.3">
      <c r="A87" s="15"/>
      <c r="B87" s="15"/>
      <c r="C87" s="15"/>
    </row>
    <row r="88" spans="1:3" s="83" customFormat="1" x14ac:dyDescent="0.3">
      <c r="A88" s="15"/>
      <c r="B88" s="15"/>
      <c r="C88" s="15"/>
    </row>
    <row r="89" spans="1:3" s="83" customFormat="1" x14ac:dyDescent="0.3">
      <c r="A89" s="15"/>
      <c r="B89" s="15"/>
      <c r="C89" s="15"/>
    </row>
    <row r="90" spans="1:3" s="83" customFormat="1" x14ac:dyDescent="0.3">
      <c r="A90" s="15"/>
      <c r="B90" s="15"/>
      <c r="C90" s="15"/>
    </row>
    <row r="91" spans="1:3" s="83" customFormat="1" x14ac:dyDescent="0.3">
      <c r="A91" s="15"/>
      <c r="B91" s="15"/>
      <c r="C91" s="15"/>
    </row>
    <row r="92" spans="1:3" s="83" customFormat="1" x14ac:dyDescent="0.3">
      <c r="A92" s="15"/>
      <c r="B92" s="15"/>
      <c r="C92" s="15"/>
    </row>
    <row r="93" spans="1:3" s="83" customFormat="1" x14ac:dyDescent="0.3">
      <c r="A93" s="15"/>
      <c r="B93" s="15"/>
      <c r="C93" s="15"/>
    </row>
    <row r="94" spans="1:3" s="83" customFormat="1" x14ac:dyDescent="0.3">
      <c r="A94" s="15"/>
      <c r="B94" s="15"/>
      <c r="C94" s="15"/>
    </row>
    <row r="95" spans="1:3" s="83" customFormat="1" x14ac:dyDescent="0.3">
      <c r="A95" s="15"/>
      <c r="B95" s="15"/>
      <c r="C95" s="15"/>
    </row>
    <row r="96" spans="1:3" s="83" customFormat="1" x14ac:dyDescent="0.3">
      <c r="A96" s="15"/>
      <c r="B96" s="15"/>
      <c r="C96" s="15"/>
    </row>
    <row r="97" spans="1:3" s="83" customFormat="1" x14ac:dyDescent="0.3">
      <c r="A97" s="15"/>
      <c r="B97" s="15"/>
      <c r="C97" s="15"/>
    </row>
    <row r="98" spans="1:3" s="83" customFormat="1" x14ac:dyDescent="0.3">
      <c r="A98" s="15"/>
      <c r="B98" s="15"/>
      <c r="C98" s="15"/>
    </row>
    <row r="99" spans="1:3" s="83" customFormat="1" x14ac:dyDescent="0.3">
      <c r="A99" s="15"/>
      <c r="B99" s="15"/>
      <c r="C99" s="15"/>
    </row>
    <row r="100" spans="1:3" s="83" customFormat="1" x14ac:dyDescent="0.3">
      <c r="A100" s="15"/>
      <c r="B100" s="15"/>
      <c r="C100" s="15"/>
    </row>
    <row r="101" spans="1:3" s="83" customFormat="1" x14ac:dyDescent="0.3">
      <c r="A101" s="15"/>
      <c r="B101" s="15"/>
      <c r="C101" s="15"/>
    </row>
    <row r="102" spans="1:3" s="83" customFormat="1" x14ac:dyDescent="0.3">
      <c r="A102" s="15"/>
      <c r="B102" s="15"/>
      <c r="C102" s="15"/>
    </row>
    <row r="103" spans="1:3" s="83" customFormat="1" x14ac:dyDescent="0.3">
      <c r="A103" s="15"/>
      <c r="B103" s="15"/>
      <c r="C103" s="15"/>
    </row>
    <row r="104" spans="1:3" s="83" customFormat="1" x14ac:dyDescent="0.3">
      <c r="A104" s="15"/>
      <c r="B104" s="15"/>
      <c r="C104" s="15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A744D9A2CE4F96772737F17599A5" ma:contentTypeVersion="11" ma:contentTypeDescription="Create a new document." ma:contentTypeScope="" ma:versionID="6c2ecaea5bcb67b731300a61597847f4">
  <xsd:schema xmlns:xsd="http://www.w3.org/2001/XMLSchema" xmlns:xs="http://www.w3.org/2001/XMLSchema" xmlns:p="http://schemas.microsoft.com/office/2006/metadata/properties" xmlns:ns2="07173b8d-9652-4d4e-9e50-2af99aaecf0d" xmlns:ns3="ecbaa7b4-61fa-4d7d-86ff-c05b04c3b887" targetNamespace="http://schemas.microsoft.com/office/2006/metadata/properties" ma:root="true" ma:fieldsID="bc59548207da779abb05996dd6d82bdc" ns2:_="" ns3:_="">
    <xsd:import namespace="07173b8d-9652-4d4e-9e50-2af99aaecf0d"/>
    <xsd:import namespace="ecbaa7b4-61fa-4d7d-86ff-c05b04c3b8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3b8d-9652-4d4e-9e50-2af99aaec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a7b4-61fa-4d7d-86ff-c05b04c3b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baa7b4-61fa-4d7d-86ff-c05b04c3b887">
      <UserInfo>
        <DisplayName>Irina Camus</DisplayName>
        <AccountId>105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4E176-2C86-4CA6-A4D0-9B42BCB57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3b8d-9652-4d4e-9e50-2af99aaecf0d"/>
    <ds:schemaRef ds:uri="ecbaa7b4-61fa-4d7d-86ff-c05b04c3b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8FCB00-9604-4212-97AF-28FC4BF46945}">
  <ds:schemaRefs>
    <ds:schemaRef ds:uri="http://purl.org/dc/elements/1.1/"/>
    <ds:schemaRef ds:uri="ecbaa7b4-61fa-4d7d-86ff-c05b04c3b887"/>
    <ds:schemaRef ds:uri="07173b8d-9652-4d4e-9e50-2af99aaecf0d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Statement-Market Cluster</vt:lpstr>
      <vt:lpstr>Income Statement-Business Area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Magnus Granerød</cp:lastModifiedBy>
  <cp:revision/>
  <dcterms:created xsi:type="dcterms:W3CDTF">2019-05-06T11:38:59Z</dcterms:created>
  <dcterms:modified xsi:type="dcterms:W3CDTF">2022-02-14T23:22:46Z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0x0101006FAFA744D9A2CE4F96772737F17599A5</vt:lpwstr>
  </property>
</Properties>
</file>