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rayon.sharepoint.com/teams/Controlling-Group/Shared Documents/Consolidation/Management reporting/2023/External Reporting/Q3 2023/"/>
    </mc:Choice>
  </mc:AlternateContent>
  <xr:revisionPtr revIDLastSave="1529" documentId="8_{B517D12A-5028-480C-A001-86BD141674F9}" xr6:coauthVersionLast="47" xr6:coauthVersionMax="47" xr10:uidLastSave="{7715BF08-D660-48F8-B018-86CE0EF4510F}"/>
  <bookViews>
    <workbookView xWindow="-120" yWindow="-120" windowWidth="29040" windowHeight="17520" tabRatio="856" activeTab="5" xr2:uid="{508605AC-DD7A-4658-BFF9-8C7AC7F72EEB}"/>
  </bookViews>
  <sheets>
    <sheet name="Income Statement" sheetId="1" r:id="rId1"/>
    <sheet name="Balance Sheet" sheetId="9" r:id="rId2"/>
    <sheet name="Cash Flow Statement" sheetId="3" r:id="rId3"/>
    <sheet name="Income Statement- MC" sheetId="11" r:id="rId4"/>
    <sheet name="Income Statement-BA" sheetId="12" r:id="rId5"/>
    <sheet name="Revenue - MC by BA" sheetId="6" r:id="rId6"/>
    <sheet name="Gross Profit - MC by BA" sheetId="7" r:id="rId7"/>
  </sheets>
  <definedNames>
    <definedName name="_xlnm._FilterDatabase" localSheetId="3" hidden="1">'Income Statement- MC'!#REF!</definedName>
    <definedName name="_xlnm._FilterDatabase" localSheetId="5" hidden="1">'Revenue - MC by BA'!#REF!</definedName>
  </definedNames>
  <calcPr calcId="191028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7" l="1"/>
  <c r="AH29" i="7"/>
  <c r="AH30" i="7"/>
  <c r="AH32" i="7"/>
  <c r="AH26" i="7"/>
  <c r="AH21" i="7"/>
  <c r="AH16" i="7"/>
  <c r="AH11" i="7"/>
  <c r="AH6" i="7"/>
  <c r="T30" i="6"/>
  <c r="T29" i="6"/>
  <c r="T28" i="6"/>
  <c r="T26" i="6"/>
  <c r="T21" i="6"/>
  <c r="T16" i="6"/>
  <c r="T11" i="6"/>
  <c r="T6" i="6"/>
  <c r="T26" i="12"/>
  <c r="T18" i="12"/>
  <c r="T10" i="12"/>
  <c r="T29" i="11"/>
  <c r="T20" i="11"/>
  <c r="T11" i="11"/>
  <c r="AH23" i="3"/>
  <c r="AH13" i="3"/>
  <c r="AH9" i="3"/>
  <c r="AH24" i="3"/>
  <c r="AH28" i="3"/>
  <c r="Z45" i="9"/>
  <c r="Z38" i="9"/>
  <c r="Z46" i="9"/>
  <c r="Z28" i="9"/>
  <c r="Z30" i="9"/>
  <c r="Z32" i="9"/>
  <c r="Z47" i="9"/>
  <c r="Z22" i="9"/>
  <c r="Z15" i="9"/>
  <c r="Z12" i="9"/>
  <c r="Z9" i="9"/>
  <c r="Z16" i="9"/>
  <c r="Z23" i="9"/>
  <c r="AH5" i="1"/>
  <c r="AH8" i="1"/>
  <c r="AH9" i="1"/>
  <c r="AH15" i="1"/>
  <c r="AH19" i="1"/>
  <c r="AH20" i="1"/>
  <c r="AH22" i="1"/>
  <c r="AH11" i="1"/>
  <c r="AH12" i="1"/>
  <c r="S30" i="6"/>
  <c r="S28" i="6"/>
  <c r="X45" i="9"/>
  <c r="AG30" i="7"/>
  <c r="AG29" i="7"/>
  <c r="AG28" i="7"/>
  <c r="AG32" i="7"/>
  <c r="AG26" i="7"/>
  <c r="AG21" i="7"/>
  <c r="AG16" i="7"/>
  <c r="AG11" i="7"/>
  <c r="AG6" i="7"/>
  <c r="S29" i="6"/>
  <c r="S26" i="6"/>
  <c r="S21" i="6"/>
  <c r="S16" i="6"/>
  <c r="S11" i="6"/>
  <c r="S6" i="6"/>
  <c r="S32" i="6"/>
  <c r="S10" i="12"/>
  <c r="S18" i="12"/>
  <c r="S26" i="12"/>
  <c r="Q17" i="12"/>
  <c r="S29" i="11"/>
  <c r="S20" i="11"/>
  <c r="S11" i="11"/>
  <c r="AF23" i="3"/>
  <c r="AD23" i="3"/>
  <c r="AC23" i="3"/>
  <c r="AB23" i="3"/>
  <c r="AA23" i="3"/>
  <c r="Y23" i="3"/>
  <c r="X23" i="3"/>
  <c r="W23" i="3"/>
  <c r="V23" i="3"/>
  <c r="S23" i="3"/>
  <c r="R23" i="3"/>
  <c r="O23" i="3"/>
  <c r="N23" i="3"/>
  <c r="M23" i="3"/>
  <c r="L23" i="3"/>
  <c r="J23" i="3"/>
  <c r="I23" i="3"/>
  <c r="H23" i="3"/>
  <c r="G23" i="3"/>
  <c r="E23" i="3"/>
  <c r="D23" i="3"/>
  <c r="C23" i="3"/>
  <c r="B23" i="3"/>
  <c r="AG23" i="3"/>
  <c r="AG13" i="3"/>
  <c r="AG9" i="3"/>
  <c r="Y45" i="9"/>
  <c r="Y38" i="9"/>
  <c r="Y28" i="9"/>
  <c r="Y30" i="9"/>
  <c r="Y32" i="9"/>
  <c r="Y22" i="9"/>
  <c r="Y15" i="9"/>
  <c r="Y12" i="9"/>
  <c r="Y9" i="9"/>
  <c r="Y16" i="9"/>
  <c r="Y23" i="9"/>
  <c r="AG24" i="3"/>
  <c r="Y46" i="9"/>
  <c r="Y47" i="9"/>
  <c r="AG28" i="3"/>
  <c r="AG19" i="1"/>
  <c r="AG8" i="1"/>
  <c r="AG5" i="1"/>
  <c r="AG9" i="1"/>
  <c r="AG11" i="1"/>
  <c r="AG12" i="1"/>
  <c r="AG15" i="1"/>
  <c r="AG20" i="1"/>
  <c r="AG22" i="1"/>
  <c r="Z32" i="7"/>
  <c r="K10" i="12"/>
  <c r="K3" i="11"/>
  <c r="Z7" i="3"/>
  <c r="Z8" i="3"/>
  <c r="Z22" i="1"/>
  <c r="Z3" i="1"/>
  <c r="L20" i="11"/>
  <c r="M32" i="6"/>
  <c r="R13" i="12"/>
  <c r="R4" i="12"/>
  <c r="AE16" i="1"/>
  <c r="AA19" i="1"/>
  <c r="Z18" i="1"/>
  <c r="U18" i="1"/>
  <c r="P18" i="1"/>
  <c r="K18" i="1"/>
  <c r="F18" i="1"/>
  <c r="AF19" i="1"/>
  <c r="AD19" i="1"/>
  <c r="AC19" i="1"/>
  <c r="AB19" i="1"/>
  <c r="Y19" i="1"/>
  <c r="X19" i="1"/>
  <c r="W19" i="1"/>
  <c r="V19" i="1"/>
  <c r="T19" i="1"/>
  <c r="S19" i="1"/>
  <c r="R19" i="1"/>
  <c r="Q19" i="1"/>
  <c r="O19" i="1"/>
  <c r="N19" i="1"/>
  <c r="M19" i="1"/>
  <c r="L19" i="1"/>
  <c r="J19" i="1"/>
  <c r="I19" i="1"/>
  <c r="H19" i="1"/>
  <c r="G19" i="1"/>
  <c r="E19" i="1"/>
  <c r="D19" i="1"/>
  <c r="C19" i="1"/>
  <c r="B19" i="1"/>
  <c r="AE18" i="1"/>
  <c r="R10" i="12"/>
  <c r="AF6" i="7"/>
  <c r="R21" i="6"/>
  <c r="R6" i="6"/>
  <c r="AF9" i="3"/>
  <c r="X38" i="9"/>
  <c r="X46" i="9"/>
  <c r="X15" i="9"/>
  <c r="X9" i="9"/>
  <c r="AF5" i="1"/>
  <c r="Q3" i="6"/>
  <c r="Q4" i="6"/>
  <c r="Q5" i="6"/>
  <c r="Q8" i="6"/>
  <c r="Q9" i="6"/>
  <c r="Q10" i="6"/>
  <c r="Q13" i="6"/>
  <c r="Q14" i="6"/>
  <c r="Q15" i="6"/>
  <c r="Q18" i="6"/>
  <c r="Q19" i="6"/>
  <c r="Q20" i="6"/>
  <c r="Q23" i="6"/>
  <c r="Q24" i="6"/>
  <c r="Q25" i="6"/>
  <c r="Q31" i="6"/>
  <c r="N20" i="11"/>
  <c r="Q10" i="11"/>
  <c r="Q13" i="11"/>
  <c r="Q14" i="11"/>
  <c r="Q15" i="11"/>
  <c r="Q16" i="11"/>
  <c r="Q17" i="11"/>
  <c r="Q18" i="11"/>
  <c r="Q19" i="11"/>
  <c r="Q22" i="11"/>
  <c r="Q23" i="11"/>
  <c r="Q24" i="11"/>
  <c r="Q25" i="11"/>
  <c r="Q26" i="11"/>
  <c r="Q27" i="11"/>
  <c r="Q28" i="11"/>
  <c r="Z3" i="3"/>
  <c r="N9" i="9"/>
  <c r="O9" i="9"/>
  <c r="W9" i="9"/>
  <c r="AF30" i="7"/>
  <c r="R28" i="6"/>
  <c r="R32" i="6"/>
  <c r="R30" i="6"/>
  <c r="R29" i="6"/>
  <c r="AF16" i="7"/>
  <c r="AF26" i="7"/>
  <c r="AF29" i="7"/>
  <c r="AF21" i="7"/>
  <c r="AF28" i="7"/>
  <c r="AF32" i="7"/>
  <c r="AF11" i="7"/>
  <c r="Q29" i="11"/>
  <c r="Q20" i="11"/>
  <c r="R11" i="6"/>
  <c r="R26" i="6"/>
  <c r="R26" i="12"/>
  <c r="R18" i="12"/>
  <c r="R29" i="11"/>
  <c r="R20" i="11"/>
  <c r="R11" i="11"/>
  <c r="Q8" i="11"/>
  <c r="R16" i="6"/>
  <c r="AF13" i="3"/>
  <c r="AF24" i="3"/>
  <c r="X28" i="9"/>
  <c r="X30" i="9"/>
  <c r="X32" i="9"/>
  <c r="X47" i="9"/>
  <c r="X22" i="9"/>
  <c r="X12" i="9"/>
  <c r="AF8" i="1"/>
  <c r="AB5" i="1"/>
  <c r="Q8" i="12"/>
  <c r="X16" i="9"/>
  <c r="X23" i="9"/>
  <c r="AF28" i="3"/>
  <c r="AF9" i="1"/>
  <c r="P6" i="11"/>
  <c r="Q6" i="11"/>
  <c r="AF15" i="1"/>
  <c r="AF20" i="1"/>
  <c r="AF22" i="1"/>
  <c r="AF11" i="1"/>
  <c r="AF12" i="1"/>
  <c r="O18" i="12"/>
  <c r="P30" i="6"/>
  <c r="Q30" i="6"/>
  <c r="O21" i="6"/>
  <c r="O16" i="6"/>
  <c r="O11" i="6"/>
  <c r="P26" i="6"/>
  <c r="P21" i="6"/>
  <c r="Q25" i="12"/>
  <c r="Q21" i="12"/>
  <c r="Q22" i="12"/>
  <c r="Q23" i="12"/>
  <c r="O29" i="11"/>
  <c r="O20" i="11"/>
  <c r="O11" i="11"/>
  <c r="O10" i="12"/>
  <c r="Q4" i="12"/>
  <c r="Q5" i="12"/>
  <c r="Q6" i="12"/>
  <c r="Q9" i="12"/>
  <c r="O6" i="6"/>
  <c r="O26" i="12"/>
  <c r="Q9" i="11"/>
  <c r="P7" i="11"/>
  <c r="Q7" i="11"/>
  <c r="P5" i="11"/>
  <c r="Q5" i="11"/>
  <c r="P4" i="11"/>
  <c r="Q4" i="11"/>
  <c r="P3" i="11"/>
  <c r="Q3" i="11"/>
  <c r="O29" i="9"/>
  <c r="O44" i="9"/>
  <c r="O45" i="9"/>
  <c r="O35" i="9"/>
  <c r="O19" i="9"/>
  <c r="O38" i="9"/>
  <c r="O28" i="9"/>
  <c r="O22" i="9"/>
  <c r="O15" i="9"/>
  <c r="O12" i="9"/>
  <c r="Q11" i="11"/>
  <c r="O16" i="9"/>
  <c r="O23" i="9"/>
  <c r="O46" i="9"/>
  <c r="O30" i="9"/>
  <c r="O32" i="9"/>
  <c r="O47" i="9"/>
  <c r="AE26" i="3"/>
  <c r="AE25" i="7"/>
  <c r="AE24" i="7"/>
  <c r="AE23" i="7"/>
  <c r="AE20" i="7"/>
  <c r="AE19" i="7"/>
  <c r="AE18" i="7"/>
  <c r="AE15" i="7"/>
  <c r="AE14" i="7"/>
  <c r="AE13" i="7"/>
  <c r="AE10" i="7"/>
  <c r="AE9" i="7"/>
  <c r="AE8" i="7"/>
  <c r="AE5" i="7"/>
  <c r="AE4" i="7"/>
  <c r="AE3" i="7"/>
  <c r="AD6" i="7"/>
  <c r="AD26" i="7"/>
  <c r="AD21" i="7"/>
  <c r="AD16" i="7"/>
  <c r="AD11" i="7"/>
  <c r="AE16" i="7"/>
  <c r="AE21" i="7"/>
  <c r="AE26" i="7"/>
  <c r="AE11" i="7"/>
  <c r="AD32" i="7"/>
  <c r="P29" i="6"/>
  <c r="Q29" i="6"/>
  <c r="P16" i="6"/>
  <c r="P11" i="6"/>
  <c r="N11" i="6"/>
  <c r="P6" i="6"/>
  <c r="P28" i="6"/>
  <c r="Q28" i="6"/>
  <c r="Q15" i="12"/>
  <c r="Q14" i="12"/>
  <c r="Q13" i="12"/>
  <c r="P26" i="12"/>
  <c r="P18" i="12"/>
  <c r="P10" i="12"/>
  <c r="P29" i="11"/>
  <c r="P20" i="11"/>
  <c r="P11" i="11"/>
  <c r="F26" i="3"/>
  <c r="AD12" i="3"/>
  <c r="AE12" i="3"/>
  <c r="AE27" i="3"/>
  <c r="AE20" i="3"/>
  <c r="AE19" i="3"/>
  <c r="AE18" i="3"/>
  <c r="AE17" i="3"/>
  <c r="AE16" i="3"/>
  <c r="AE15" i="3"/>
  <c r="AE23" i="3"/>
  <c r="AE11" i="3"/>
  <c r="AE6" i="3"/>
  <c r="AE5" i="3"/>
  <c r="AE4" i="3"/>
  <c r="AE8" i="3"/>
  <c r="AE7" i="3"/>
  <c r="AE3" i="3"/>
  <c r="AD5" i="1"/>
  <c r="AC5" i="1"/>
  <c r="AE21" i="1"/>
  <c r="AE10" i="1"/>
  <c r="AE7" i="1"/>
  <c r="AE6" i="1"/>
  <c r="AE4" i="1"/>
  <c r="AE3" i="1"/>
  <c r="AD14" i="1"/>
  <c r="AE5" i="1"/>
  <c r="P32" i="6"/>
  <c r="AE13" i="3"/>
  <c r="AE9" i="3"/>
  <c r="AE8" i="1"/>
  <c r="AE9" i="1"/>
  <c r="AC26" i="7"/>
  <c r="AC21" i="7"/>
  <c r="AC16" i="7"/>
  <c r="AC11" i="7"/>
  <c r="AC6" i="7"/>
  <c r="AB26" i="7"/>
  <c r="AB21" i="7"/>
  <c r="AB16" i="7"/>
  <c r="AB11" i="7"/>
  <c r="AB6" i="7"/>
  <c r="AA26" i="7"/>
  <c r="AA21" i="7"/>
  <c r="AA16" i="7"/>
  <c r="AA11" i="7"/>
  <c r="AA6" i="7"/>
  <c r="Y26" i="7"/>
  <c r="Y21" i="7"/>
  <c r="Y16" i="7"/>
  <c r="Y11" i="7"/>
  <c r="Y6" i="7"/>
  <c r="X26" i="7"/>
  <c r="X21" i="7"/>
  <c r="X16" i="7"/>
  <c r="X11" i="7"/>
  <c r="X6" i="7"/>
  <c r="W26" i="7"/>
  <c r="W21" i="7"/>
  <c r="W16" i="7"/>
  <c r="W11" i="7"/>
  <c r="W6" i="7"/>
  <c r="V26" i="7"/>
  <c r="V21" i="7"/>
  <c r="V16" i="7"/>
  <c r="V11" i="7"/>
  <c r="V6" i="7"/>
  <c r="N26" i="6"/>
  <c r="N21" i="6"/>
  <c r="N16" i="6"/>
  <c r="N6" i="6"/>
  <c r="M26" i="6"/>
  <c r="M21" i="6"/>
  <c r="M16" i="6"/>
  <c r="M11" i="6"/>
  <c r="M6" i="6"/>
  <c r="L26" i="6"/>
  <c r="L21" i="6"/>
  <c r="L16" i="6"/>
  <c r="L11" i="6"/>
  <c r="L6" i="6"/>
  <c r="J26" i="6"/>
  <c r="J21" i="6"/>
  <c r="J16" i="6"/>
  <c r="J11" i="6"/>
  <c r="J6" i="6"/>
  <c r="I26" i="6"/>
  <c r="I21" i="6"/>
  <c r="I16" i="6"/>
  <c r="I11" i="6"/>
  <c r="I6" i="6"/>
  <c r="H26" i="6"/>
  <c r="H21" i="6"/>
  <c r="H16" i="6"/>
  <c r="H11" i="6"/>
  <c r="H6" i="6"/>
  <c r="I26" i="12"/>
  <c r="G18" i="12"/>
  <c r="K28" i="11"/>
  <c r="K19" i="11"/>
  <c r="K27" i="11"/>
  <c r="K14" i="11"/>
  <c r="K26" i="11"/>
  <c r="K25" i="11"/>
  <c r="K24" i="11"/>
  <c r="K23" i="11"/>
  <c r="K22" i="11"/>
  <c r="K18" i="11"/>
  <c r="K17" i="11"/>
  <c r="K16" i="11"/>
  <c r="K15" i="11"/>
  <c r="K13" i="11"/>
  <c r="K10" i="11"/>
  <c r="K9" i="11"/>
  <c r="K8" i="11"/>
  <c r="J11" i="11"/>
  <c r="K7" i="11"/>
  <c r="K6" i="11"/>
  <c r="K5" i="11"/>
  <c r="K4" i="11"/>
  <c r="C29" i="11"/>
  <c r="D29" i="11"/>
  <c r="E29" i="11"/>
  <c r="G29" i="11"/>
  <c r="H29" i="11"/>
  <c r="J29" i="11"/>
  <c r="L29" i="11"/>
  <c r="M29" i="11"/>
  <c r="N29" i="11"/>
  <c r="B29" i="11"/>
  <c r="C20" i="11"/>
  <c r="D20" i="11"/>
  <c r="E20" i="11"/>
  <c r="G20" i="11"/>
  <c r="H20" i="11"/>
  <c r="I20" i="11"/>
  <c r="J20" i="11"/>
  <c r="M20" i="11"/>
  <c r="B20" i="11"/>
  <c r="C11" i="11"/>
  <c r="D11" i="11"/>
  <c r="E11" i="11"/>
  <c r="G11" i="11"/>
  <c r="H11" i="11"/>
  <c r="I11" i="11"/>
  <c r="L11" i="11"/>
  <c r="M11" i="11"/>
  <c r="N11" i="11"/>
  <c r="B11" i="11"/>
  <c r="AA5" i="1"/>
  <c r="Y5" i="1"/>
  <c r="X5" i="1"/>
  <c r="W5" i="1"/>
  <c r="V5" i="1"/>
  <c r="Z21" i="7"/>
  <c r="Q11" i="6"/>
  <c r="Q21" i="6"/>
  <c r="Q6" i="6"/>
  <c r="Q16" i="6"/>
  <c r="Q26" i="6"/>
  <c r="G26" i="12"/>
  <c r="Z11" i="7"/>
  <c r="Z16" i="7"/>
  <c r="Z26" i="7"/>
  <c r="Q20" i="12"/>
  <c r="M26" i="12"/>
  <c r="Q7" i="12"/>
  <c r="Q3" i="12"/>
  <c r="Q24" i="12"/>
  <c r="L18" i="12"/>
  <c r="AE6" i="7"/>
  <c r="Z6" i="7"/>
  <c r="N18" i="12"/>
  <c r="Q12" i="12"/>
  <c r="Q16" i="12"/>
  <c r="J10" i="12"/>
  <c r="AE24" i="3"/>
  <c r="H26" i="12"/>
  <c r="N26" i="12"/>
  <c r="H18" i="12"/>
  <c r="I18" i="12"/>
  <c r="M18" i="12"/>
  <c r="Q18" i="12"/>
  <c r="N10" i="12"/>
  <c r="L26" i="12"/>
  <c r="J26" i="12"/>
  <c r="J18" i="12"/>
  <c r="M10" i="12"/>
  <c r="L10" i="12"/>
  <c r="I10" i="12"/>
  <c r="H10" i="12"/>
  <c r="G10" i="12"/>
  <c r="I29" i="11"/>
  <c r="K29" i="11"/>
  <c r="K20" i="11"/>
  <c r="K11" i="11"/>
  <c r="K26" i="12"/>
  <c r="Q10" i="12"/>
  <c r="K18" i="12"/>
  <c r="Q26" i="12"/>
  <c r="AE11" i="1"/>
  <c r="AE12" i="1"/>
  <c r="G26" i="6"/>
  <c r="K26" i="6"/>
  <c r="G21" i="6"/>
  <c r="K21" i="6"/>
  <c r="G16" i="6"/>
  <c r="K16" i="6"/>
  <c r="G11" i="6"/>
  <c r="K11" i="6"/>
  <c r="G6" i="6"/>
  <c r="K6" i="6"/>
  <c r="AC13" i="3"/>
  <c r="AC9" i="3"/>
  <c r="AB13" i="3"/>
  <c r="AB9" i="3"/>
  <c r="AA13" i="3"/>
  <c r="AA9" i="3"/>
  <c r="Z27" i="3"/>
  <c r="Z20" i="3"/>
  <c r="Z19" i="3"/>
  <c r="Z18" i="3"/>
  <c r="Z17" i="3"/>
  <c r="Z16" i="3"/>
  <c r="Z15" i="3"/>
  <c r="Z23" i="3"/>
  <c r="Z12" i="3"/>
  <c r="Z11" i="3"/>
  <c r="Y13" i="3"/>
  <c r="X13" i="3"/>
  <c r="W13" i="3"/>
  <c r="V13" i="3"/>
  <c r="Y9" i="3"/>
  <c r="X9" i="3"/>
  <c r="W9" i="3"/>
  <c r="V9" i="3"/>
  <c r="Z6" i="3"/>
  <c r="Z5" i="3"/>
  <c r="Z4" i="3"/>
  <c r="V15" i="9"/>
  <c r="V12" i="9"/>
  <c r="V9" i="9"/>
  <c r="R43" i="9"/>
  <c r="U12" i="9"/>
  <c r="U9" i="9"/>
  <c r="T12" i="9"/>
  <c r="T9" i="9"/>
  <c r="S12" i="9"/>
  <c r="S9" i="9"/>
  <c r="R12" i="9"/>
  <c r="R9" i="9"/>
  <c r="Q12" i="9"/>
  <c r="Q9" i="9"/>
  <c r="P12" i="9"/>
  <c r="P15" i="9"/>
  <c r="V45" i="9"/>
  <c r="U45" i="9"/>
  <c r="T45" i="9"/>
  <c r="S45" i="9"/>
  <c r="R45" i="9"/>
  <c r="Q45" i="9"/>
  <c r="P45" i="9"/>
  <c r="V38" i="9"/>
  <c r="U38" i="9"/>
  <c r="T38" i="9"/>
  <c r="S38" i="9"/>
  <c r="R38" i="9"/>
  <c r="Q38" i="9"/>
  <c r="P38" i="9"/>
  <c r="V28" i="9"/>
  <c r="V30" i="9"/>
  <c r="V32" i="9"/>
  <c r="U28" i="9"/>
  <c r="U30" i="9"/>
  <c r="U32" i="9"/>
  <c r="T28" i="9"/>
  <c r="T30" i="9"/>
  <c r="T32" i="9"/>
  <c r="S28" i="9"/>
  <c r="S30" i="9"/>
  <c r="S32" i="9"/>
  <c r="R28" i="9"/>
  <c r="R30" i="9"/>
  <c r="R32" i="9"/>
  <c r="Q28" i="9"/>
  <c r="P28" i="9"/>
  <c r="P30" i="9"/>
  <c r="P32" i="9"/>
  <c r="V22" i="9"/>
  <c r="U22" i="9"/>
  <c r="T22" i="9"/>
  <c r="S22" i="9"/>
  <c r="R22" i="9"/>
  <c r="Q22" i="9"/>
  <c r="P22" i="9"/>
  <c r="U15" i="9"/>
  <c r="U16" i="9"/>
  <c r="T15" i="9"/>
  <c r="S15" i="9"/>
  <c r="R15" i="9"/>
  <c r="Q15" i="9"/>
  <c r="P9" i="9"/>
  <c r="AE17" i="1"/>
  <c r="AE19" i="1"/>
  <c r="AA14" i="1"/>
  <c r="AE14" i="1"/>
  <c r="AA13" i="1"/>
  <c r="AE13" i="1"/>
  <c r="Z13" i="1"/>
  <c r="Z14" i="1"/>
  <c r="Z6" i="1"/>
  <c r="Z21" i="1"/>
  <c r="Z17" i="1"/>
  <c r="Z16" i="1"/>
  <c r="Z19" i="1"/>
  <c r="Z7" i="1"/>
  <c r="Z4" i="1"/>
  <c r="Z5" i="1"/>
  <c r="Z9" i="3"/>
  <c r="Z13" i="3"/>
  <c r="AE15" i="1"/>
  <c r="V16" i="9"/>
  <c r="V23" i="9"/>
  <c r="S16" i="9"/>
  <c r="S23" i="9"/>
  <c r="AC24" i="3"/>
  <c r="AC28" i="3"/>
  <c r="AB24" i="3"/>
  <c r="AA24" i="3"/>
  <c r="W24" i="3"/>
  <c r="W28" i="3"/>
  <c r="X24" i="3"/>
  <c r="X28" i="3"/>
  <c r="Y25" i="3"/>
  <c r="Y24" i="3"/>
  <c r="V24" i="3"/>
  <c r="S46" i="9"/>
  <c r="S47" i="9"/>
  <c r="T46" i="9"/>
  <c r="T47" i="9"/>
  <c r="V46" i="9"/>
  <c r="V47" i="9"/>
  <c r="U46" i="9"/>
  <c r="U47" i="9"/>
  <c r="R46" i="9"/>
  <c r="R47" i="9"/>
  <c r="Q46" i="9"/>
  <c r="Q30" i="9"/>
  <c r="Q32" i="9"/>
  <c r="P46" i="9"/>
  <c r="P47" i="9"/>
  <c r="U23" i="9"/>
  <c r="T16" i="9"/>
  <c r="T23" i="9"/>
  <c r="R16" i="9"/>
  <c r="R23" i="9"/>
  <c r="Q16" i="9"/>
  <c r="Q23" i="9"/>
  <c r="P16" i="9"/>
  <c r="P23" i="9"/>
  <c r="AC8" i="1"/>
  <c r="AB8" i="1"/>
  <c r="AA8" i="1"/>
  <c r="Y8" i="1"/>
  <c r="X8" i="1"/>
  <c r="W8" i="1"/>
  <c r="V8" i="1"/>
  <c r="AE20" i="1"/>
  <c r="AE22" i="1"/>
  <c r="Z8" i="1"/>
  <c r="Y28" i="3"/>
  <c r="Z24" i="3"/>
  <c r="Q47" i="9"/>
  <c r="AC9" i="1"/>
  <c r="AC15" i="1"/>
  <c r="AC20" i="1"/>
  <c r="AC22" i="1"/>
  <c r="AB9" i="1"/>
  <c r="AB15" i="1"/>
  <c r="AB20" i="1"/>
  <c r="AB22" i="1"/>
  <c r="AA9" i="1"/>
  <c r="AA15" i="1"/>
  <c r="AA20" i="1"/>
  <c r="AA22" i="1"/>
  <c r="Y9" i="1"/>
  <c r="Y15" i="1"/>
  <c r="Y20" i="1"/>
  <c r="Y22" i="1"/>
  <c r="X9" i="1"/>
  <c r="X15" i="1"/>
  <c r="X20" i="1"/>
  <c r="X22" i="1"/>
  <c r="W9" i="1"/>
  <c r="V9" i="1"/>
  <c r="V15" i="1"/>
  <c r="V20" i="1"/>
  <c r="V22" i="1"/>
  <c r="W11" i="1"/>
  <c r="W12" i="1"/>
  <c r="Z9" i="1"/>
  <c r="Z11" i="1"/>
  <c r="Z12" i="1"/>
  <c r="AC11" i="1"/>
  <c r="AC12" i="1"/>
  <c r="AB11" i="1"/>
  <c r="AB12" i="1"/>
  <c r="AA11" i="1"/>
  <c r="AA12" i="1"/>
  <c r="X11" i="1"/>
  <c r="X12" i="1"/>
  <c r="Y11" i="1"/>
  <c r="Y12" i="1"/>
  <c r="W15" i="1"/>
  <c r="V11" i="1"/>
  <c r="V12" i="1"/>
  <c r="W20" i="1"/>
  <c r="Z15" i="1"/>
  <c r="AD13" i="3"/>
  <c r="AD9" i="3"/>
  <c r="W45" i="9"/>
  <c r="W38" i="9"/>
  <c r="W28" i="9"/>
  <c r="W30" i="9"/>
  <c r="W32" i="9"/>
  <c r="W22" i="9"/>
  <c r="W15" i="9"/>
  <c r="W12" i="9"/>
  <c r="AD8" i="1"/>
  <c r="AC32" i="7"/>
  <c r="AD9" i="1"/>
  <c r="AD15" i="1"/>
  <c r="AD20" i="1"/>
  <c r="AD22" i="1"/>
  <c r="W22" i="1"/>
  <c r="Z20" i="1"/>
  <c r="AD24" i="3"/>
  <c r="AD28" i="3"/>
  <c r="W46" i="9"/>
  <c r="W47" i="9"/>
  <c r="W16" i="9"/>
  <c r="W23" i="9"/>
  <c r="N32" i="6"/>
  <c r="AD11" i="1"/>
  <c r="AD12" i="1"/>
  <c r="AB32" i="7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U3" i="1"/>
  <c r="E26" i="6"/>
  <c r="D26" i="6"/>
  <c r="C26" i="6"/>
  <c r="B26" i="6"/>
  <c r="E21" i="6"/>
  <c r="D21" i="6"/>
  <c r="C21" i="6"/>
  <c r="B21" i="6"/>
  <c r="E16" i="6"/>
  <c r="D16" i="6"/>
  <c r="C16" i="6"/>
  <c r="B16" i="6"/>
  <c r="E11" i="6"/>
  <c r="D11" i="6"/>
  <c r="C11" i="6"/>
  <c r="B11" i="6"/>
  <c r="E6" i="6"/>
  <c r="D6" i="6"/>
  <c r="C6" i="6"/>
  <c r="B6" i="6"/>
  <c r="E30" i="6"/>
  <c r="D30" i="6"/>
  <c r="C30" i="6"/>
  <c r="B30" i="6"/>
  <c r="E29" i="6"/>
  <c r="D29" i="6"/>
  <c r="C29" i="6"/>
  <c r="B29" i="6"/>
  <c r="E28" i="6"/>
  <c r="D28" i="6"/>
  <c r="C28" i="6"/>
  <c r="B28" i="6"/>
  <c r="F31" i="6"/>
  <c r="F25" i="6"/>
  <c r="F24" i="6"/>
  <c r="F23" i="6"/>
  <c r="F20" i="6"/>
  <c r="F19" i="6"/>
  <c r="F18" i="6"/>
  <c r="F15" i="6"/>
  <c r="F14" i="6"/>
  <c r="F13" i="6"/>
  <c r="F10" i="6"/>
  <c r="F9" i="6"/>
  <c r="F8" i="6"/>
  <c r="F5" i="6"/>
  <c r="F4" i="6"/>
  <c r="F3" i="6"/>
  <c r="B10" i="12"/>
  <c r="C10" i="12"/>
  <c r="D10" i="12"/>
  <c r="E10" i="12"/>
  <c r="B18" i="12"/>
  <c r="C18" i="12"/>
  <c r="D18" i="12"/>
  <c r="E18" i="12"/>
  <c r="B26" i="12"/>
  <c r="C26" i="12"/>
  <c r="D26" i="12"/>
  <c r="E26" i="12"/>
  <c r="F24" i="12"/>
  <c r="F23" i="12"/>
  <c r="F22" i="12"/>
  <c r="F21" i="12"/>
  <c r="F20" i="12"/>
  <c r="F17" i="12"/>
  <c r="F16" i="12"/>
  <c r="F15" i="12"/>
  <c r="F14" i="12"/>
  <c r="F13" i="12"/>
  <c r="F12" i="12"/>
  <c r="F8" i="12"/>
  <c r="F7" i="12"/>
  <c r="F6" i="12"/>
  <c r="F5" i="12"/>
  <c r="F4" i="12"/>
  <c r="F3" i="12"/>
  <c r="F26" i="11"/>
  <c r="F25" i="11"/>
  <c r="F24" i="11"/>
  <c r="F23" i="11"/>
  <c r="F22" i="11"/>
  <c r="F18" i="11"/>
  <c r="F17" i="11"/>
  <c r="F16" i="11"/>
  <c r="F15" i="11"/>
  <c r="F14" i="11"/>
  <c r="F13" i="11"/>
  <c r="F8" i="11"/>
  <c r="F7" i="11"/>
  <c r="F6" i="11"/>
  <c r="F5" i="11"/>
  <c r="F4" i="11"/>
  <c r="F3" i="11"/>
  <c r="F29" i="11"/>
  <c r="F20" i="11"/>
  <c r="F11" i="11"/>
  <c r="F28" i="6"/>
  <c r="F30" i="6"/>
  <c r="C32" i="6"/>
  <c r="F6" i="6"/>
  <c r="D32" i="6"/>
  <c r="F21" i="6"/>
  <c r="E32" i="6"/>
  <c r="B32" i="6"/>
  <c r="F26" i="6"/>
  <c r="F16" i="6"/>
  <c r="F29" i="6"/>
  <c r="F11" i="6"/>
  <c r="F18" i="12"/>
  <c r="F26" i="12"/>
  <c r="F10" i="12"/>
  <c r="F32" i="6"/>
  <c r="AA32" i="7"/>
  <c r="L32" i="6"/>
  <c r="Q32" i="6"/>
  <c r="AE32" i="7"/>
  <c r="U2" i="1"/>
  <c r="J32" i="6"/>
  <c r="Y32" i="7"/>
  <c r="I32" i="6"/>
  <c r="X32" i="7"/>
  <c r="Q15" i="3"/>
  <c r="H32" i="6"/>
  <c r="W32" i="7"/>
  <c r="G32" i="6"/>
  <c r="K32" i="6"/>
  <c r="V32" i="7"/>
  <c r="T9" i="3"/>
  <c r="T4" i="1"/>
  <c r="T7" i="1"/>
  <c r="T6" i="1"/>
  <c r="N22" i="9"/>
  <c r="T21" i="1"/>
  <c r="U10" i="1"/>
  <c r="U21" i="1"/>
  <c r="U16" i="1"/>
  <c r="U27" i="3"/>
  <c r="U18" i="3"/>
  <c r="U17" i="3"/>
  <c r="U11" i="3"/>
  <c r="U13" i="3"/>
  <c r="U5" i="3"/>
  <c r="U6" i="3"/>
  <c r="U7" i="3"/>
  <c r="U8" i="3"/>
  <c r="T16" i="3"/>
  <c r="T23" i="3"/>
  <c r="T13" i="3"/>
  <c r="N38" i="9"/>
  <c r="N45" i="9"/>
  <c r="N28" i="9"/>
  <c r="N30" i="9"/>
  <c r="N32" i="9"/>
  <c r="N12" i="9"/>
  <c r="N16" i="9"/>
  <c r="N23" i="9"/>
  <c r="U16" i="3"/>
  <c r="T24" i="3"/>
  <c r="N46" i="9"/>
  <c r="N47" i="9"/>
  <c r="U31" i="7"/>
  <c r="U25" i="7"/>
  <c r="U24" i="7"/>
  <c r="U23" i="7"/>
  <c r="U20" i="7"/>
  <c r="U19" i="7"/>
  <c r="U18" i="7"/>
  <c r="U15" i="7"/>
  <c r="U14" i="7"/>
  <c r="U13" i="7"/>
  <c r="U10" i="7"/>
  <c r="U9" i="7"/>
  <c r="U8" i="7"/>
  <c r="U4" i="7"/>
  <c r="U5" i="7"/>
  <c r="U3" i="7"/>
  <c r="T28" i="7"/>
  <c r="T29" i="7"/>
  <c r="T30" i="7"/>
  <c r="T26" i="7"/>
  <c r="T21" i="7"/>
  <c r="T16" i="7"/>
  <c r="T11" i="7"/>
  <c r="T6" i="7"/>
  <c r="T14" i="1"/>
  <c r="T13" i="1"/>
  <c r="T8" i="1"/>
  <c r="T5" i="1"/>
  <c r="T9" i="1"/>
  <c r="U21" i="7"/>
  <c r="U6" i="7"/>
  <c r="U11" i="7"/>
  <c r="U16" i="7"/>
  <c r="U26" i="7"/>
  <c r="T32" i="7"/>
  <c r="S28" i="7"/>
  <c r="S29" i="7"/>
  <c r="S30" i="7"/>
  <c r="S26" i="7"/>
  <c r="S21" i="7"/>
  <c r="S16" i="7"/>
  <c r="S11" i="7"/>
  <c r="S6" i="7"/>
  <c r="S13" i="3"/>
  <c r="S9" i="3"/>
  <c r="M45" i="9"/>
  <c r="M38" i="9"/>
  <c r="M28" i="9"/>
  <c r="M30" i="9"/>
  <c r="M32" i="9"/>
  <c r="M22" i="9"/>
  <c r="M12" i="9"/>
  <c r="M9" i="9"/>
  <c r="S5" i="1"/>
  <c r="S8" i="1"/>
  <c r="P10" i="1"/>
  <c r="H44" i="9"/>
  <c r="H45" i="9"/>
  <c r="R9" i="3"/>
  <c r="R13" i="3"/>
  <c r="U15" i="3"/>
  <c r="Q19" i="3"/>
  <c r="Q20" i="3"/>
  <c r="U20" i="3"/>
  <c r="Q13" i="3"/>
  <c r="Q3" i="3"/>
  <c r="U3" i="3"/>
  <c r="Q4" i="3"/>
  <c r="U4" i="3"/>
  <c r="R28" i="7"/>
  <c r="R29" i="7"/>
  <c r="R30" i="7"/>
  <c r="L38" i="9"/>
  <c r="L28" i="9"/>
  <c r="L30" i="9"/>
  <c r="L32" i="9"/>
  <c r="L45" i="9"/>
  <c r="L22" i="9"/>
  <c r="L12" i="9"/>
  <c r="L9" i="9"/>
  <c r="R8" i="1"/>
  <c r="R5" i="1"/>
  <c r="R26" i="7"/>
  <c r="R21" i="7"/>
  <c r="R16" i="7"/>
  <c r="R11" i="7"/>
  <c r="R6" i="7"/>
  <c r="U17" i="1"/>
  <c r="U19" i="1"/>
  <c r="Q30" i="7"/>
  <c r="Q29" i="7"/>
  <c r="Q28" i="7"/>
  <c r="Q26" i="7"/>
  <c r="Q21" i="7"/>
  <c r="Q16" i="7"/>
  <c r="Q11" i="7"/>
  <c r="Q6" i="7"/>
  <c r="P31" i="7"/>
  <c r="M9" i="3"/>
  <c r="P25" i="3"/>
  <c r="N9" i="3"/>
  <c r="K45" i="9"/>
  <c r="K38" i="9"/>
  <c r="K31" i="9"/>
  <c r="K29" i="9"/>
  <c r="K28" i="9"/>
  <c r="K22" i="9"/>
  <c r="K12" i="9"/>
  <c r="K9" i="9"/>
  <c r="P16" i="1"/>
  <c r="P19" i="1"/>
  <c r="Q14" i="1"/>
  <c r="U14" i="1"/>
  <c r="Q13" i="1"/>
  <c r="U13" i="1"/>
  <c r="Q7" i="1"/>
  <c r="U7" i="1"/>
  <c r="Q6" i="1"/>
  <c r="U6" i="1"/>
  <c r="Q4" i="1"/>
  <c r="U4" i="1"/>
  <c r="K21" i="1"/>
  <c r="O6" i="1"/>
  <c r="P6" i="1"/>
  <c r="O14" i="1"/>
  <c r="P14" i="1"/>
  <c r="O13" i="1"/>
  <c r="P13" i="1"/>
  <c r="L5" i="1"/>
  <c r="P25" i="7"/>
  <c r="P24" i="7"/>
  <c r="P23" i="7"/>
  <c r="P20" i="7"/>
  <c r="P19" i="7"/>
  <c r="P18" i="7"/>
  <c r="P15" i="7"/>
  <c r="P14" i="7"/>
  <c r="P13" i="7"/>
  <c r="P10" i="7"/>
  <c r="P9" i="7"/>
  <c r="P8" i="7"/>
  <c r="P5" i="7"/>
  <c r="P4" i="7"/>
  <c r="P3" i="7"/>
  <c r="P7" i="1"/>
  <c r="P4" i="1"/>
  <c r="P2" i="1"/>
  <c r="P11" i="3"/>
  <c r="P3" i="3"/>
  <c r="P27" i="3"/>
  <c r="P20" i="3"/>
  <c r="P19" i="3"/>
  <c r="P18" i="3"/>
  <c r="P17" i="3"/>
  <c r="P16" i="3"/>
  <c r="P15" i="3"/>
  <c r="P23" i="3"/>
  <c r="P8" i="3"/>
  <c r="P7" i="3"/>
  <c r="P6" i="3"/>
  <c r="P5" i="3"/>
  <c r="P4" i="3"/>
  <c r="N13" i="3"/>
  <c r="M13" i="3"/>
  <c r="L13" i="3"/>
  <c r="F25" i="7"/>
  <c r="F24" i="7"/>
  <c r="F23" i="7"/>
  <c r="F20" i="7"/>
  <c r="F19" i="7"/>
  <c r="F18" i="7"/>
  <c r="F15" i="7"/>
  <c r="F14" i="7"/>
  <c r="F13" i="7"/>
  <c r="F10" i="7"/>
  <c r="F9" i="7"/>
  <c r="F8" i="7"/>
  <c r="F11" i="7"/>
  <c r="F4" i="7"/>
  <c r="F3" i="7"/>
  <c r="J28" i="7"/>
  <c r="K25" i="7"/>
  <c r="K24" i="7"/>
  <c r="K23" i="7"/>
  <c r="K20" i="7"/>
  <c r="K19" i="7"/>
  <c r="K18" i="7"/>
  <c r="K15" i="7"/>
  <c r="K14" i="7"/>
  <c r="K13" i="7"/>
  <c r="K10" i="7"/>
  <c r="K9" i="7"/>
  <c r="K8" i="7"/>
  <c r="K5" i="7"/>
  <c r="K4" i="7"/>
  <c r="K3" i="7"/>
  <c r="J45" i="9"/>
  <c r="J38" i="9"/>
  <c r="J28" i="9"/>
  <c r="J30" i="9"/>
  <c r="J32" i="9"/>
  <c r="B12" i="9"/>
  <c r="C12" i="9"/>
  <c r="D12" i="9"/>
  <c r="E12" i="9"/>
  <c r="F12" i="9"/>
  <c r="G12" i="9"/>
  <c r="H12" i="9"/>
  <c r="I12" i="9"/>
  <c r="B9" i="9"/>
  <c r="C9" i="9"/>
  <c r="D9" i="9"/>
  <c r="E9" i="9"/>
  <c r="F9" i="9"/>
  <c r="G9" i="9"/>
  <c r="H9" i="9"/>
  <c r="I9" i="9"/>
  <c r="J22" i="9"/>
  <c r="J12" i="9"/>
  <c r="J9" i="9"/>
  <c r="H22" i="9"/>
  <c r="F22" i="9"/>
  <c r="E22" i="9"/>
  <c r="E28" i="9"/>
  <c r="E30" i="9"/>
  <c r="E32" i="9"/>
  <c r="B22" i="9"/>
  <c r="D22" i="9"/>
  <c r="C22" i="9"/>
  <c r="H28" i="9"/>
  <c r="H30" i="9"/>
  <c r="H32" i="9"/>
  <c r="G22" i="9"/>
  <c r="I22" i="9"/>
  <c r="B28" i="9"/>
  <c r="B30" i="9"/>
  <c r="B32" i="9"/>
  <c r="E38" i="9"/>
  <c r="C28" i="9"/>
  <c r="C30" i="9"/>
  <c r="C32" i="9"/>
  <c r="D28" i="9"/>
  <c r="D30" i="9"/>
  <c r="D32" i="9"/>
  <c r="G28" i="9"/>
  <c r="G30" i="9"/>
  <c r="G32" i="9"/>
  <c r="F28" i="9"/>
  <c r="F30" i="9"/>
  <c r="F32" i="9"/>
  <c r="E45" i="9"/>
  <c r="H38" i="9"/>
  <c r="I28" i="9"/>
  <c r="I30" i="9"/>
  <c r="I32" i="9"/>
  <c r="B38" i="9"/>
  <c r="D38" i="9"/>
  <c r="C38" i="9"/>
  <c r="G38" i="9"/>
  <c r="B45" i="9"/>
  <c r="C45" i="9"/>
  <c r="D45" i="9"/>
  <c r="F38" i="9"/>
  <c r="I38" i="9"/>
  <c r="G45" i="9"/>
  <c r="I45" i="9"/>
  <c r="F45" i="9"/>
  <c r="O28" i="7"/>
  <c r="O29" i="7"/>
  <c r="O30" i="7"/>
  <c r="O26" i="7"/>
  <c r="O6" i="7"/>
  <c r="O11" i="7"/>
  <c r="O16" i="7"/>
  <c r="O21" i="7"/>
  <c r="O13" i="3"/>
  <c r="O9" i="3"/>
  <c r="O5" i="1"/>
  <c r="O21" i="1"/>
  <c r="P21" i="1"/>
  <c r="P17" i="1"/>
  <c r="K7" i="3"/>
  <c r="N28" i="7"/>
  <c r="N29" i="7"/>
  <c r="N30" i="7"/>
  <c r="N26" i="7"/>
  <c r="N21" i="7"/>
  <c r="N16" i="7"/>
  <c r="N11" i="7"/>
  <c r="N6" i="7"/>
  <c r="N5" i="1"/>
  <c r="N8" i="1"/>
  <c r="M30" i="7"/>
  <c r="M29" i="7"/>
  <c r="M28" i="7"/>
  <c r="M26" i="7"/>
  <c r="M21" i="7"/>
  <c r="M16" i="7"/>
  <c r="M11" i="7"/>
  <c r="M6" i="7"/>
  <c r="K9" i="3"/>
  <c r="M5" i="1"/>
  <c r="M8" i="1"/>
  <c r="K2" i="1"/>
  <c r="F2" i="1"/>
  <c r="F17" i="3"/>
  <c r="G6" i="7"/>
  <c r="J6" i="7"/>
  <c r="E11" i="7"/>
  <c r="C16" i="7"/>
  <c r="G16" i="7"/>
  <c r="D21" i="7"/>
  <c r="E21" i="7"/>
  <c r="I21" i="7"/>
  <c r="L21" i="7"/>
  <c r="C26" i="7"/>
  <c r="G26" i="7"/>
  <c r="J26" i="7"/>
  <c r="C28" i="7"/>
  <c r="C29" i="7"/>
  <c r="D6" i="7"/>
  <c r="H6" i="7"/>
  <c r="I6" i="7"/>
  <c r="L6" i="7"/>
  <c r="C11" i="7"/>
  <c r="D11" i="7"/>
  <c r="L11" i="7"/>
  <c r="D16" i="7"/>
  <c r="E16" i="7"/>
  <c r="H16" i="7"/>
  <c r="I16" i="7"/>
  <c r="J16" i="7"/>
  <c r="L16" i="7"/>
  <c r="C21" i="7"/>
  <c r="G21" i="7"/>
  <c r="H21" i="7"/>
  <c r="J21" i="7"/>
  <c r="D26" i="7"/>
  <c r="E26" i="7"/>
  <c r="H26" i="7"/>
  <c r="I26" i="7"/>
  <c r="L26" i="7"/>
  <c r="D28" i="7"/>
  <c r="D29" i="7"/>
  <c r="D30" i="7"/>
  <c r="L28" i="7"/>
  <c r="L29" i="7"/>
  <c r="L30" i="7"/>
  <c r="B28" i="7"/>
  <c r="B29" i="7"/>
  <c r="B30" i="7"/>
  <c r="B26" i="7"/>
  <c r="B21" i="7"/>
  <c r="B16" i="7"/>
  <c r="B11" i="7"/>
  <c r="B6" i="7"/>
  <c r="F4" i="1"/>
  <c r="C5" i="1"/>
  <c r="D5" i="1"/>
  <c r="D8" i="1"/>
  <c r="E5" i="1"/>
  <c r="L8" i="1"/>
  <c r="C8" i="1"/>
  <c r="F6" i="1"/>
  <c r="F7" i="1"/>
  <c r="F10" i="1"/>
  <c r="J5" i="1"/>
  <c r="J8" i="1"/>
  <c r="E8" i="1"/>
  <c r="G5" i="1"/>
  <c r="G8" i="1"/>
  <c r="H5" i="1"/>
  <c r="H8" i="1"/>
  <c r="I5" i="1"/>
  <c r="I8" i="1"/>
  <c r="B5" i="1"/>
  <c r="B8" i="1"/>
  <c r="K19" i="3"/>
  <c r="K18" i="3"/>
  <c r="K17" i="3"/>
  <c r="K24" i="3"/>
  <c r="K25" i="3"/>
  <c r="K27" i="3"/>
  <c r="F24" i="3"/>
  <c r="F25" i="3"/>
  <c r="F27" i="3"/>
  <c r="I28" i="7"/>
  <c r="H29" i="7"/>
  <c r="G30" i="7"/>
  <c r="J11" i="7"/>
  <c r="H28" i="7"/>
  <c r="E30" i="7"/>
  <c r="H11" i="7"/>
  <c r="I11" i="7"/>
  <c r="I29" i="7"/>
  <c r="H30" i="7"/>
  <c r="I30" i="7"/>
  <c r="J30" i="7"/>
  <c r="J29" i="7"/>
  <c r="E28" i="7"/>
  <c r="G28" i="7"/>
  <c r="E29" i="7"/>
  <c r="G29" i="7"/>
  <c r="E6" i="7"/>
  <c r="G11" i="7"/>
  <c r="K16" i="3"/>
  <c r="K20" i="3"/>
  <c r="K15" i="3"/>
  <c r="F16" i="3"/>
  <c r="F18" i="3"/>
  <c r="F19" i="3"/>
  <c r="F20" i="3"/>
  <c r="F15" i="3"/>
  <c r="K13" i="3"/>
  <c r="F12" i="3"/>
  <c r="F13" i="3"/>
  <c r="K4" i="3"/>
  <c r="K5" i="3"/>
  <c r="K6" i="3"/>
  <c r="K8" i="3"/>
  <c r="K3" i="3"/>
  <c r="F4" i="3"/>
  <c r="F5" i="3"/>
  <c r="F6" i="3"/>
  <c r="F7" i="3"/>
  <c r="F8" i="3"/>
  <c r="F9" i="3"/>
  <c r="F3" i="3"/>
  <c r="K10" i="1"/>
  <c r="K17" i="1"/>
  <c r="K16" i="1"/>
  <c r="K19" i="1"/>
  <c r="K14" i="1"/>
  <c r="K13" i="1"/>
  <c r="K7" i="1"/>
  <c r="K6" i="1"/>
  <c r="K4" i="1"/>
  <c r="F21" i="1"/>
  <c r="F17" i="1"/>
  <c r="F16" i="1"/>
  <c r="F19" i="1"/>
  <c r="F14" i="1"/>
  <c r="F13" i="1"/>
  <c r="F5" i="7"/>
  <c r="C6" i="7"/>
  <c r="C30" i="7"/>
  <c r="U19" i="3"/>
  <c r="U23" i="3"/>
  <c r="Q23" i="3"/>
  <c r="F23" i="3"/>
  <c r="K23" i="3"/>
  <c r="P16" i="7"/>
  <c r="K16" i="7"/>
  <c r="F16" i="7"/>
  <c r="I16" i="9"/>
  <c r="H16" i="9"/>
  <c r="H23" i="9"/>
  <c r="L9" i="1"/>
  <c r="L11" i="1"/>
  <c r="L12" i="1"/>
  <c r="K26" i="7"/>
  <c r="E16" i="9"/>
  <c r="M24" i="3"/>
  <c r="M28" i="3"/>
  <c r="H32" i="7"/>
  <c r="J32" i="7"/>
  <c r="F26" i="7"/>
  <c r="K29" i="7"/>
  <c r="F6" i="7"/>
  <c r="B32" i="7"/>
  <c r="M32" i="7"/>
  <c r="P30" i="7"/>
  <c r="D32" i="7"/>
  <c r="K28" i="7"/>
  <c r="P9" i="3"/>
  <c r="G16" i="9"/>
  <c r="G23" i="9"/>
  <c r="D16" i="9"/>
  <c r="D23" i="9"/>
  <c r="K16" i="9"/>
  <c r="K23" i="9"/>
  <c r="C16" i="9"/>
  <c r="C23" i="9"/>
  <c r="B16" i="9"/>
  <c r="B23" i="9"/>
  <c r="M9" i="1"/>
  <c r="M15" i="1"/>
  <c r="P26" i="7"/>
  <c r="P29" i="7"/>
  <c r="S24" i="3"/>
  <c r="K28" i="3"/>
  <c r="J16" i="9"/>
  <c r="J23" i="9"/>
  <c r="L16" i="9"/>
  <c r="L23" i="9"/>
  <c r="F16" i="9"/>
  <c r="F23" i="9"/>
  <c r="M16" i="9"/>
  <c r="M23" i="9"/>
  <c r="H46" i="9"/>
  <c r="L24" i="3"/>
  <c r="F28" i="3"/>
  <c r="L15" i="1"/>
  <c r="T11" i="1"/>
  <c r="T15" i="1"/>
  <c r="K5" i="1"/>
  <c r="C9" i="1"/>
  <c r="E9" i="1"/>
  <c r="J9" i="1"/>
  <c r="I9" i="1"/>
  <c r="P8" i="1"/>
  <c r="F8" i="1"/>
  <c r="P11" i="7"/>
  <c r="K30" i="7"/>
  <c r="F29" i="7"/>
  <c r="K11" i="7"/>
  <c r="I32" i="7"/>
  <c r="G32" i="7"/>
  <c r="Q32" i="7"/>
  <c r="L32" i="7"/>
  <c r="R32" i="7"/>
  <c r="F21" i="7"/>
  <c r="K21" i="7"/>
  <c r="S32" i="7"/>
  <c r="F28" i="7"/>
  <c r="F30" i="7"/>
  <c r="N32" i="7"/>
  <c r="O32" i="7"/>
  <c r="K6" i="7"/>
  <c r="E32" i="7"/>
  <c r="O8" i="1"/>
  <c r="O9" i="1"/>
  <c r="F5" i="1"/>
  <c r="N24" i="3"/>
  <c r="N28" i="3"/>
  <c r="P21" i="7"/>
  <c r="P28" i="7"/>
  <c r="P13" i="3"/>
  <c r="P6" i="7"/>
  <c r="G9" i="1"/>
  <c r="U28" i="7"/>
  <c r="C32" i="7"/>
  <c r="J46" i="9"/>
  <c r="J47" i="9"/>
  <c r="R9" i="1"/>
  <c r="B9" i="1"/>
  <c r="D9" i="1"/>
  <c r="Q9" i="3"/>
  <c r="K8" i="1"/>
  <c r="O24" i="3"/>
  <c r="O28" i="3"/>
  <c r="U29" i="7"/>
  <c r="U30" i="7"/>
  <c r="C46" i="9"/>
  <c r="C47" i="9"/>
  <c r="K30" i="9"/>
  <c r="K32" i="9"/>
  <c r="H9" i="1"/>
  <c r="S9" i="1"/>
  <c r="N9" i="1"/>
  <c r="F46" i="9"/>
  <c r="F47" i="9"/>
  <c r="I46" i="9"/>
  <c r="I47" i="9"/>
  <c r="M46" i="9"/>
  <c r="M47" i="9"/>
  <c r="B46" i="9"/>
  <c r="B47" i="9"/>
  <c r="E46" i="9"/>
  <c r="E47" i="9"/>
  <c r="L46" i="9"/>
  <c r="L47" i="9"/>
  <c r="G46" i="9"/>
  <c r="G47" i="9"/>
  <c r="K46" i="9"/>
  <c r="D46" i="9"/>
  <c r="D47" i="9"/>
  <c r="I23" i="9"/>
  <c r="E23" i="9"/>
  <c r="H47" i="9"/>
  <c r="P5" i="1"/>
  <c r="Q8" i="1"/>
  <c r="U8" i="1"/>
  <c r="Q5" i="1"/>
  <c r="U9" i="3"/>
  <c r="R24" i="3"/>
  <c r="Q24" i="3"/>
  <c r="Q28" i="3"/>
  <c r="R25" i="3"/>
  <c r="R28" i="3"/>
  <c r="S25" i="3"/>
  <c r="S28" i="3"/>
  <c r="T25" i="3"/>
  <c r="T28" i="3"/>
  <c r="M11" i="1"/>
  <c r="M12" i="1"/>
  <c r="F32" i="7"/>
  <c r="P32" i="7"/>
  <c r="K32" i="7"/>
  <c r="I11" i="1"/>
  <c r="I12" i="1"/>
  <c r="I15" i="1"/>
  <c r="O11" i="1"/>
  <c r="O12" i="1"/>
  <c r="O15" i="1"/>
  <c r="J11" i="1"/>
  <c r="J12" i="1"/>
  <c r="J15" i="1"/>
  <c r="J20" i="1"/>
  <c r="J22" i="1"/>
  <c r="G11" i="1"/>
  <c r="G12" i="1"/>
  <c r="G15" i="1"/>
  <c r="E11" i="1"/>
  <c r="E12" i="1"/>
  <c r="E15" i="1"/>
  <c r="E20" i="1"/>
  <c r="E22" i="1"/>
  <c r="S11" i="1"/>
  <c r="S12" i="1"/>
  <c r="S15" i="1"/>
  <c r="S20" i="1"/>
  <c r="S22" i="1"/>
  <c r="B11" i="1"/>
  <c r="B12" i="1"/>
  <c r="B15" i="1"/>
  <c r="H11" i="1"/>
  <c r="H12" i="1"/>
  <c r="H15" i="1"/>
  <c r="H20" i="1"/>
  <c r="H22" i="1"/>
  <c r="D11" i="1"/>
  <c r="D12" i="1"/>
  <c r="D15" i="1"/>
  <c r="R11" i="1"/>
  <c r="R12" i="1"/>
  <c r="R15" i="1"/>
  <c r="N11" i="1"/>
  <c r="N12" i="1"/>
  <c r="N15" i="1"/>
  <c r="C11" i="1"/>
  <c r="C12" i="1"/>
  <c r="C15" i="1"/>
  <c r="K9" i="1"/>
  <c r="I20" i="1"/>
  <c r="I22" i="1"/>
  <c r="M20" i="1"/>
  <c r="M22" i="1"/>
  <c r="L20" i="1"/>
  <c r="L22" i="1"/>
  <c r="U32" i="7"/>
  <c r="F9" i="1"/>
  <c r="K47" i="9"/>
  <c r="P24" i="3"/>
  <c r="P28" i="3"/>
  <c r="U25" i="3"/>
  <c r="U5" i="1"/>
  <c r="Q9" i="1"/>
  <c r="P9" i="1"/>
  <c r="T12" i="1"/>
  <c r="T20" i="1"/>
  <c r="U24" i="3"/>
  <c r="U28" i="3"/>
  <c r="F11" i="1"/>
  <c r="F12" i="1"/>
  <c r="F15" i="1"/>
  <c r="P11" i="1"/>
  <c r="P12" i="1"/>
  <c r="P15" i="1"/>
  <c r="Q11" i="1"/>
  <c r="Q15" i="1"/>
  <c r="K11" i="1"/>
  <c r="K12" i="1"/>
  <c r="K15" i="1"/>
  <c r="D20" i="1"/>
  <c r="D22" i="1"/>
  <c r="B20" i="1"/>
  <c r="B22" i="1"/>
  <c r="N20" i="1"/>
  <c r="N22" i="1"/>
  <c r="G20" i="1"/>
  <c r="G22" i="1"/>
  <c r="C20" i="1"/>
  <c r="C22" i="1"/>
  <c r="R20" i="1"/>
  <c r="R22" i="1"/>
  <c r="O20" i="1"/>
  <c r="O22" i="1"/>
  <c r="U9" i="1"/>
  <c r="T22" i="1"/>
  <c r="V25" i="3"/>
  <c r="V28" i="3"/>
  <c r="Z25" i="3"/>
  <c r="Z28" i="3"/>
  <c r="AE25" i="3"/>
  <c r="K20" i="1"/>
  <c r="K22" i="1"/>
  <c r="U11" i="1"/>
  <c r="U15" i="1"/>
  <c r="F20" i="1"/>
  <c r="F22" i="1"/>
  <c r="P20" i="1"/>
  <c r="P22" i="1"/>
  <c r="Q20" i="1"/>
  <c r="AA25" i="3"/>
  <c r="AA28" i="3"/>
  <c r="AB25" i="3"/>
  <c r="AB28" i="3"/>
  <c r="AE28" i="3"/>
  <c r="Q22" i="1"/>
  <c r="U22" i="1"/>
  <c r="U20" i="1"/>
  <c r="Q12" i="1"/>
  <c r="U12" i="1"/>
</calcChain>
</file>

<file path=xl/sharedStrings.xml><?xml version="1.0" encoding="utf-8"?>
<sst xmlns="http://schemas.openxmlformats.org/spreadsheetml/2006/main" count="378" uniqueCount="155">
  <si>
    <t>NOK million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</si>
  <si>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</si>
  <si>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</si>
  <si>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</si>
  <si>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</si>
  <si>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</si>
  <si>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</si>
  <si>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</si>
  <si>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</si>
  <si>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</si>
  <si>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</si>
  <si>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</si>
  <si>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</si>
  <si>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</si>
  <si>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</si>
  <si>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</si>
  <si>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</si>
  <si>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Q4 2022</t>
  </si>
  <si>
    <t>Q1 2023</t>
  </si>
  <si>
    <t>Gross Sales*</t>
  </si>
  <si>
    <t>Revenue*</t>
  </si>
  <si>
    <t>Cost of sales</t>
  </si>
  <si>
    <t>Gross profit</t>
  </si>
  <si>
    <t>Payroll and related expenses</t>
  </si>
  <si>
    <t>Other operating expenses</t>
  </si>
  <si>
    <t>Total operating expenses</t>
  </si>
  <si>
    <t>EBITDA</t>
  </si>
  <si>
    <t>Adjustments</t>
  </si>
  <si>
    <t>Adj. EBITDA</t>
  </si>
  <si>
    <t>Adj. EBITDA margin</t>
  </si>
  <si>
    <t>Depreciation</t>
  </si>
  <si>
    <t>Amortization and impairment</t>
  </si>
  <si>
    <t>EBIT</t>
  </si>
  <si>
    <t>Share of profit (loss) from associated companies</t>
  </si>
  <si>
    <t>Interest expense</t>
  </si>
  <si>
    <t>Other financial expense, net</t>
  </si>
  <si>
    <t>Net financial expense</t>
  </si>
  <si>
    <t>Net income before tax</t>
  </si>
  <si>
    <t>Income tax expense on net income</t>
  </si>
  <si>
    <t>Net income</t>
  </si>
  <si>
    <t>NOK (Milions)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</si>
  <si>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</si>
  <si>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</si>
  <si>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</si>
  <si>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</si>
  <si>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</si>
  <si>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</si>
  <si>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</si>
  <si>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</si>
  <si>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</si>
  <si>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</si>
  <si>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Total tangible assets</t>
  </si>
  <si>
    <t>Investment in associated companies</t>
  </si>
  <si>
    <t>Other non-current receivables</t>
  </si>
  <si>
    <t>Total financial assets</t>
  </si>
  <si>
    <t>Total non-current assets</t>
  </si>
  <si>
    <t>Inventory</t>
  </si>
  <si>
    <t>Accounts receivable</t>
  </si>
  <si>
    <t>Other receivables</t>
  </si>
  <si>
    <t>Short term deposits</t>
  </si>
  <si>
    <t>-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</si>
  <si>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</si>
  <si>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</si>
  <si>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</si>
  <si>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</si>
  <si>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</si>
  <si>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</si>
  <si>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</si>
  <si>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</si>
  <si>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</si>
  <si>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</si>
  <si>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</si>
  <si>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</si>
  <si>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Interest-bearing liabilities</t>
  </si>
  <si>
    <t>Derivative financial liabilities</t>
  </si>
  <si>
    <t>Deferred tax liabilities</t>
  </si>
  <si>
    <t>Lease liabilities</t>
  </si>
  <si>
    <t>Other non-current liabilities</t>
  </si>
  <si>
    <t>Total non-current liabilities</t>
  </si>
  <si>
    <t>Accounts payable</t>
  </si>
  <si>
    <t>Income taxes payable</t>
  </si>
  <si>
    <t>Public duties</t>
  </si>
  <si>
    <t>Current lease liabilities</t>
  </si>
  <si>
    <t>Other current interest-bearing liabilities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</si>
  <si>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</si>
  <si>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</si>
  <si>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</si>
  <si>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</si>
  <si>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</si>
  <si>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</si>
  <si>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Depreciation, amortization and impairment</t>
  </si>
  <si>
    <t>Net interest expense</t>
  </si>
  <si>
    <t>Changes in inventory, accounts receivable/payable</t>
  </si>
  <si>
    <t>Changes in other current accounts</t>
  </si>
  <si>
    <t>Net cash flow from operating activities</t>
  </si>
  <si>
    <t>Cash flow from investing activities</t>
  </si>
  <si>
    <t>Payment for capitalized assets</t>
  </si>
  <si>
    <t>Acquisition of subsidiaries - (net of cash acquired) and associated companies</t>
  </si>
  <si>
    <t>Net cash flow from investing activities</t>
  </si>
  <si>
    <t>Cash flow from financing activities</t>
  </si>
  <si>
    <t xml:space="preserve">Net interest paid on interest-bearing liabilities </t>
  </si>
  <si>
    <t>Share issues</t>
  </si>
  <si>
    <t>Acquistion/disposal of non-controlling interests</t>
  </si>
  <si>
    <t>Proceeds from issuance of interest-bearing liabilities</t>
  </si>
  <si>
    <t>Repayment of interest-bearing liabilities</t>
  </si>
  <si>
    <t>Other financial items</t>
  </si>
  <si>
    <t>Net cash flow from financing activities</t>
  </si>
  <si>
    <t>Net increase (decrease) in cash and cash equivalents</t>
  </si>
  <si>
    <t>Cash and cash equivalents at beginning of period</t>
  </si>
  <si>
    <t>Re classification of RCF to interest-bearing liabilities</t>
  </si>
  <si>
    <t xml:space="preserve">Currency translation </t>
  </si>
  <si>
    <t>Cash and cash equivalents at end of period</t>
  </si>
  <si>
    <t>Reallocation</t>
  </si>
  <si>
    <t>Revenue</t>
  </si>
  <si>
    <t>Nordics</t>
  </si>
  <si>
    <t>Europe</t>
  </si>
  <si>
    <t>APAC &amp; MEA</t>
  </si>
  <si>
    <t>US</t>
  </si>
  <si>
    <t>HQ</t>
  </si>
  <si>
    <t>Eliminations</t>
  </si>
  <si>
    <t>IFRS 15 restatement</t>
  </si>
  <si>
    <t>Total Revenue</t>
  </si>
  <si>
    <t>Total gross profit</t>
  </si>
  <si>
    <t>Total adj. EBITDA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</si>
  <si>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</si>
  <si>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</si>
  <si>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</si>
  <si>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</si>
  <si>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</si>
  <si>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</si>
  <si>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</si>
  <si>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</si>
  <si>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</si>
  <si>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</si>
  <si>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</si>
  <si>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</si>
  <si>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</si>
  <si>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Group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</si>
  <si>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</si>
  <si>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</si>
  <si>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</si>
  <si>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</si>
  <si>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</si>
  <si>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</si>
  <si>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Q2 2022</t>
  </si>
  <si>
    <t>Q3 2022</t>
  </si>
  <si>
    <t>Q1 2022</t>
  </si>
  <si>
    <t>Q4 2021</t>
  </si>
  <si>
    <t>Q3 2021</t>
  </si>
  <si>
    <t>Q2 2021</t>
  </si>
  <si>
    <t>Q1 2021</t>
  </si>
  <si>
    <t>Q2 2023</t>
  </si>
  <si>
    <t>Change in other credit facility utilization</t>
  </si>
  <si>
    <t>Change in RCF utilization</t>
  </si>
  <si>
    <t>Q3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</si>
</sst>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 * #,##0.00_ ;_ * \-#,##0.00_ ;_ * &quot;-&quot;??_ ;_ @_ "/>
    <numFmt numFmtId="164" formatCode="0.0"/>
    <numFmt numFmtId="165" formatCode="0.0\ %"/>
    <numFmt numFmtId="166" formatCode="_ * #,##0.0_ ;_ * \-#,##0.0_ ;_ * &quot;-&quot;??_ ;_ @_ "/>
    <numFmt numFmtId="167" formatCode="_ * #,##0_ ;_ * \-#,##0_ ;_ * &quot;-&quot;??_ ;_ @_ "/>
    <numFmt numFmtId="168" formatCode="_ * #,##0.0_ ;_ * \-#,##0.0_ ;_ * &quot;-&quot;?_ ;_ @_ "/>
    <numFmt numFmtId="169" formatCode="_(* #,##0.0_);_(* \(#,##0.0\);_(* &quot;-&quot;?_);_(@_)"/>
    <numFmt numFmtId="170" formatCode="_(* #,##0_);_(* \(#,##0\);_(* &quot;-&quot;?_);_(@_)"/>
    <numFmt numFmtId="171" formatCode="0.0%"/>
    <numFmt numFmtId="172" formatCode="_ * #,##0.0000_ ;_ * \-#,##0.0000_ ;_ * &quot;-&quot;??_ ;_ @_ "/>
    <numFmt numFmtId="173" formatCode="_(* #,##0.00_);_(* \(#,##0.00\);_(* &quot;-&quot;?_);_(@_)"/>
    <numFmt numFmtId="174" formatCode="_ * #,##0.000_ ;_ * \-#,##0.0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12" borderId="13" applyNumberFormat="0" applyFont="0" applyAlignment="0" applyProtection="0"/>
    <xf numFmtId="3" fontId="20" fillId="0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3" fillId="11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 applyNumberFormat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3" borderId="10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4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6" fontId="6" fillId="3" borderId="10" xfId="1" applyNumberFormat="1" applyFont="1" applyFill="1" applyBorder="1" applyAlignment="1">
      <alignment horizontal="right" readingOrder="1"/>
    </xf>
    <xf numFmtId="0" fontId="7" fillId="5" borderId="0" xfId="0" applyFont="1" applyFill="1"/>
    <xf numFmtId="166" fontId="7" fillId="5" borderId="0" xfId="1" applyNumberFormat="1" applyFont="1" applyFill="1"/>
    <xf numFmtId="168" fontId="7" fillId="5" borderId="0" xfId="0" applyNumberFormat="1" applyFont="1" applyFill="1"/>
    <xf numFmtId="0" fontId="0" fillId="5" borderId="0" xfId="0" applyFill="1"/>
    <xf numFmtId="164" fontId="0" fillId="5" borderId="0" xfId="0" applyNumberFormat="1" applyFill="1"/>
    <xf numFmtId="168" fontId="0" fillId="5" borderId="0" xfId="0" applyNumberFormat="1" applyFill="1"/>
    <xf numFmtId="0" fontId="4" fillId="4" borderId="11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vertical="center"/>
    </xf>
    <xf numFmtId="167" fontId="6" fillId="3" borderId="10" xfId="1" applyNumberFormat="1" applyFont="1" applyFill="1" applyBorder="1" applyAlignment="1">
      <alignment horizontal="left" readingOrder="1"/>
    </xf>
    <xf numFmtId="166" fontId="0" fillId="5" borderId="0" xfId="0" applyNumberFormat="1" applyFill="1"/>
    <xf numFmtId="166" fontId="7" fillId="5" borderId="0" xfId="0" applyNumberFormat="1" applyFont="1" applyFill="1"/>
    <xf numFmtId="166" fontId="0" fillId="5" borderId="0" xfId="1" applyNumberFormat="1" applyFont="1" applyFill="1"/>
    <xf numFmtId="0" fontId="3" fillId="2" borderId="2" xfId="0" applyFont="1" applyFill="1" applyBorder="1" applyAlignment="1">
      <alignment horizontal="center" vertical="center" readingOrder="1"/>
    </xf>
    <xf numFmtId="0" fontId="12" fillId="0" borderId="10" xfId="0" applyFont="1" applyBorder="1" applyAlignment="1">
      <alignment horizontal="left" readingOrder="1"/>
    </xf>
    <xf numFmtId="166" fontId="13" fillId="4" borderId="10" xfId="1" applyNumberFormat="1" applyFont="1" applyFill="1" applyBorder="1" applyAlignment="1">
      <alignment horizontal="left" readingOrder="1"/>
    </xf>
    <xf numFmtId="0" fontId="14" fillId="3" borderId="10" xfId="0" applyFont="1" applyFill="1" applyBorder="1" applyAlignment="1">
      <alignment horizontal="left" readingOrder="1"/>
    </xf>
    <xf numFmtId="166" fontId="15" fillId="5" borderId="0" xfId="0" applyNumberFormat="1" applyFont="1" applyFill="1"/>
    <xf numFmtId="0" fontId="15" fillId="5" borderId="0" xfId="0" applyFont="1" applyFill="1"/>
    <xf numFmtId="166" fontId="15" fillId="5" borderId="0" xfId="1" applyNumberFormat="1" applyFont="1" applyFill="1"/>
    <xf numFmtId="0" fontId="15" fillId="0" borderId="0" xfId="0" applyFont="1"/>
    <xf numFmtId="9" fontId="15" fillId="5" borderId="0" xfId="2" applyFont="1" applyFill="1"/>
    <xf numFmtId="166" fontId="15" fillId="5" borderId="0" xfId="2" applyNumberFormat="1" applyFont="1" applyFill="1"/>
    <xf numFmtId="165" fontId="15" fillId="5" borderId="0" xfId="2" applyNumberFormat="1" applyFont="1" applyFill="1"/>
    <xf numFmtId="0" fontId="0" fillId="5" borderId="0" xfId="0" applyFill="1" applyAlignment="1">
      <alignment vertical="center"/>
    </xf>
    <xf numFmtId="0" fontId="6" fillId="3" borderId="10" xfId="0" applyFont="1" applyFill="1" applyBorder="1" applyAlignment="1">
      <alignment horizontal="left" vertical="center" readingOrder="1"/>
    </xf>
    <xf numFmtId="166" fontId="4" fillId="4" borderId="10" xfId="1" applyNumberFormat="1" applyFont="1" applyFill="1" applyBorder="1" applyAlignment="1">
      <alignment horizontal="left" vertical="center" readingOrder="1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 readingOrder="1"/>
    </xf>
    <xf numFmtId="166" fontId="8" fillId="5" borderId="0" xfId="1" applyNumberFormat="1" applyFont="1" applyFill="1" applyBorder="1" applyAlignment="1">
      <alignment horizontal="right" vertical="center" readingOrder="1"/>
    </xf>
    <xf numFmtId="0" fontId="25" fillId="5" borderId="0" xfId="0" applyFont="1" applyFill="1" applyAlignment="1">
      <alignment horizontal="left" vertical="center" readingOrder="1"/>
    </xf>
    <xf numFmtId="166" fontId="25" fillId="5" borderId="0" xfId="1" applyNumberFormat="1" applyFont="1" applyFill="1" applyBorder="1" applyAlignment="1">
      <alignment horizontal="right" vertical="center" readingOrder="1"/>
    </xf>
    <xf numFmtId="0" fontId="15" fillId="5" borderId="0" xfId="0" applyFont="1" applyFill="1" applyAlignment="1">
      <alignment vertical="center"/>
    </xf>
    <xf numFmtId="168" fontId="15" fillId="5" borderId="0" xfId="0" applyNumberFormat="1" applyFont="1" applyFill="1" applyAlignment="1">
      <alignment vertical="center"/>
    </xf>
    <xf numFmtId="0" fontId="5" fillId="0" borderId="10" xfId="0" applyFont="1" applyBorder="1" applyAlignment="1">
      <alignment horizontal="left" vertical="center" indent="1" readingOrder="1"/>
    </xf>
    <xf numFmtId="0" fontId="3" fillId="2" borderId="1" xfId="0" applyFont="1" applyFill="1" applyBorder="1" applyAlignment="1">
      <alignment horizontal="left" vertical="center" readingOrder="1"/>
    </xf>
    <xf numFmtId="0" fontId="9" fillId="5" borderId="0" xfId="0" applyFont="1" applyFill="1" applyAlignment="1">
      <alignment vertical="center"/>
    </xf>
    <xf numFmtId="0" fontId="5" fillId="0" borderId="3" xfId="0" applyFont="1" applyBorder="1" applyAlignment="1">
      <alignment horizontal="left" vertical="center" readingOrder="1"/>
    </xf>
    <xf numFmtId="0" fontId="4" fillId="4" borderId="3" xfId="0" applyFont="1" applyFill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vertical="center" readingOrder="1"/>
    </xf>
    <xf numFmtId="0" fontId="1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7" fillId="5" borderId="0" xfId="0" applyNumberFormat="1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5" fillId="5" borderId="0" xfId="0" applyNumberFormat="1" applyFont="1" applyFill="1" applyAlignment="1">
      <alignment vertical="center"/>
    </xf>
    <xf numFmtId="164" fontId="15" fillId="5" borderId="0" xfId="0" applyNumberFormat="1" applyFont="1" applyFill="1" applyAlignment="1">
      <alignment vertical="center"/>
    </xf>
    <xf numFmtId="10" fontId="7" fillId="5" borderId="0" xfId="0" applyNumberFormat="1" applyFont="1" applyFill="1" applyAlignment="1">
      <alignment vertical="center"/>
    </xf>
    <xf numFmtId="10" fontId="15" fillId="5" borderId="0" xfId="0" applyNumberFormat="1" applyFont="1" applyFill="1" applyAlignment="1">
      <alignment vertical="center"/>
    </xf>
    <xf numFmtId="166" fontId="7" fillId="5" borderId="0" xfId="1" applyNumberFormat="1" applyFont="1" applyFill="1" applyAlignment="1">
      <alignment vertical="center"/>
    </xf>
    <xf numFmtId="166" fontId="15" fillId="5" borderId="0" xfId="1" applyNumberFormat="1" applyFont="1" applyFill="1" applyAlignment="1">
      <alignment vertical="center"/>
    </xf>
    <xf numFmtId="0" fontId="26" fillId="5" borderId="0" xfId="0" applyFont="1" applyFill="1" applyAlignment="1">
      <alignment vertical="center"/>
    </xf>
    <xf numFmtId="169" fontId="15" fillId="5" borderId="0" xfId="0" applyNumberFormat="1" applyFont="1" applyFill="1" applyAlignment="1">
      <alignment vertical="center"/>
    </xf>
    <xf numFmtId="171" fontId="15" fillId="5" borderId="0" xfId="2" applyNumberFormat="1" applyFont="1" applyFill="1" applyAlignment="1">
      <alignment vertical="center"/>
    </xf>
    <xf numFmtId="0" fontId="28" fillId="5" borderId="0" xfId="0" applyFont="1" applyFill="1" applyAlignment="1">
      <alignment vertical="center"/>
    </xf>
    <xf numFmtId="169" fontId="28" fillId="5" borderId="0" xfId="0" applyNumberFormat="1" applyFont="1" applyFill="1" applyAlignment="1">
      <alignment vertical="center"/>
    </xf>
    <xf numFmtId="170" fontId="28" fillId="5" borderId="0" xfId="0" applyNumberFormat="1" applyFont="1" applyFill="1" applyAlignment="1">
      <alignment vertical="center"/>
    </xf>
    <xf numFmtId="169" fontId="29" fillId="5" borderId="0" xfId="0" applyNumberFormat="1" applyFont="1" applyFill="1" applyAlignment="1">
      <alignment vertical="center"/>
    </xf>
    <xf numFmtId="3" fontId="26" fillId="5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left" readingOrder="1"/>
    </xf>
    <xf numFmtId="168" fontId="15" fillId="5" borderId="0" xfId="0" applyNumberFormat="1" applyFont="1" applyFill="1"/>
    <xf numFmtId="9" fontId="15" fillId="0" borderId="0" xfId="2" applyFont="1" applyFill="1"/>
    <xf numFmtId="169" fontId="0" fillId="5" borderId="0" xfId="0" applyNumberFormat="1" applyFill="1"/>
    <xf numFmtId="172" fontId="0" fillId="5" borderId="0" xfId="0" applyNumberFormat="1" applyFill="1"/>
    <xf numFmtId="0" fontId="7" fillId="0" borderId="0" xfId="0" applyFont="1" applyAlignment="1">
      <alignment vertical="center"/>
    </xf>
    <xf numFmtId="167" fontId="0" fillId="5" borderId="0" xfId="1" applyNumberFormat="1" applyFont="1" applyFill="1"/>
    <xf numFmtId="167" fontId="0" fillId="5" borderId="0" xfId="0" applyNumberFormat="1" applyFill="1"/>
    <xf numFmtId="170" fontId="5" fillId="0" borderId="4" xfId="1" applyNumberFormat="1" applyFont="1" applyBorder="1" applyAlignment="1">
      <alignment horizontal="right" vertical="center" readingOrder="1"/>
    </xf>
    <xf numFmtId="170" fontId="5" fillId="0" borderId="4" xfId="1" applyNumberFormat="1" applyFont="1" applyBorder="1" applyAlignment="1">
      <alignment vertical="center" readingOrder="1"/>
    </xf>
    <xf numFmtId="170" fontId="4" fillId="4" borderId="10" xfId="1" applyNumberFormat="1" applyFont="1" applyFill="1" applyBorder="1" applyAlignment="1">
      <alignment horizontal="left" vertical="center" readingOrder="1"/>
    </xf>
    <xf numFmtId="170" fontId="4" fillId="4" borderId="10" xfId="1" applyNumberFormat="1" applyFont="1" applyFill="1" applyBorder="1" applyAlignment="1">
      <alignment vertical="center" readingOrder="1"/>
    </xf>
    <xf numFmtId="170" fontId="4" fillId="0" borderId="4" xfId="1" applyNumberFormat="1" applyFont="1" applyBorder="1" applyAlignment="1">
      <alignment horizontal="right" vertical="center" readingOrder="1"/>
    </xf>
    <xf numFmtId="170" fontId="4" fillId="0" borderId="4" xfId="1" applyNumberFormat="1" applyFont="1" applyBorder="1" applyAlignment="1">
      <alignment vertical="center" readingOrder="1"/>
    </xf>
    <xf numFmtId="173" fontId="10" fillId="0" borderId="6" xfId="0" applyNumberFormat="1" applyFont="1" applyBorder="1" applyAlignment="1">
      <alignment horizontal="right" vertical="center" readingOrder="1"/>
    </xf>
    <xf numFmtId="173" fontId="10" fillId="0" borderId="6" xfId="0" applyNumberFormat="1" applyFont="1" applyBorder="1" applyAlignment="1">
      <alignment vertical="center" readingOrder="1"/>
    </xf>
    <xf numFmtId="170" fontId="5" fillId="0" borderId="10" xfId="1" applyNumberFormat="1" applyFont="1" applyBorder="1" applyAlignment="1">
      <alignment vertical="center" readingOrder="1"/>
    </xf>
    <xf numFmtId="170" fontId="6" fillId="3" borderId="10" xfId="0" applyNumberFormat="1" applyFont="1" applyFill="1" applyBorder="1" applyAlignment="1">
      <alignment vertical="center" readingOrder="1"/>
    </xf>
    <xf numFmtId="170" fontId="5" fillId="0" borderId="10" xfId="0" applyNumberFormat="1" applyFont="1" applyBorder="1" applyAlignment="1">
      <alignment horizontal="right" readingOrder="1"/>
    </xf>
    <xf numFmtId="170" fontId="4" fillId="4" borderId="10" xfId="0" applyNumberFormat="1" applyFont="1" applyFill="1" applyBorder="1" applyAlignment="1">
      <alignment horizontal="right" readingOrder="1"/>
    </xf>
    <xf numFmtId="170" fontId="6" fillId="3" borderId="10" xfId="0" applyNumberFormat="1" applyFont="1" applyFill="1" applyBorder="1" applyAlignment="1">
      <alignment horizontal="right" readingOrder="1"/>
    </xf>
    <xf numFmtId="170" fontId="12" fillId="0" borderId="10" xfId="0" applyNumberFormat="1" applyFont="1" applyBorder="1" applyAlignment="1">
      <alignment horizontal="right" readingOrder="1"/>
    </xf>
    <xf numFmtId="170" fontId="5" fillId="0" borderId="10" xfId="1" applyNumberFormat="1" applyFont="1" applyBorder="1" applyAlignment="1">
      <alignment horizontal="right" readingOrder="1"/>
    </xf>
    <xf numFmtId="170" fontId="6" fillId="3" borderId="10" xfId="0" applyNumberFormat="1" applyFont="1" applyFill="1" applyBorder="1" applyAlignment="1">
      <alignment horizontal="left" readingOrder="1"/>
    </xf>
    <xf numFmtId="170" fontId="4" fillId="4" borderId="11" xfId="0" applyNumberFormat="1" applyFont="1" applyFill="1" applyBorder="1" applyAlignment="1">
      <alignment horizontal="right" readingOrder="1"/>
    </xf>
    <xf numFmtId="170" fontId="5" fillId="0" borderId="10" xfId="1" applyNumberFormat="1" applyFont="1" applyFill="1" applyBorder="1" applyAlignment="1">
      <alignment horizontal="right" readingOrder="1"/>
    </xf>
    <xf numFmtId="170" fontId="4" fillId="4" borderId="10" xfId="1" applyNumberFormat="1" applyFont="1" applyFill="1" applyBorder="1" applyAlignment="1">
      <alignment horizontal="right" readingOrder="1"/>
    </xf>
    <xf numFmtId="170" fontId="6" fillId="3" borderId="10" xfId="1" applyNumberFormat="1" applyFont="1" applyFill="1" applyBorder="1" applyAlignment="1">
      <alignment horizontal="right" readingOrder="1"/>
    </xf>
    <xf numFmtId="170" fontId="5" fillId="29" borderId="10" xfId="1" applyNumberFormat="1" applyFont="1" applyFill="1" applyBorder="1" applyAlignment="1">
      <alignment horizontal="right" readingOrder="1"/>
    </xf>
    <xf numFmtId="170" fontId="5" fillId="0" borderId="10" xfId="1" applyNumberFormat="1" applyFont="1" applyBorder="1" applyAlignment="1">
      <alignment horizontal="left" readingOrder="1"/>
    </xf>
    <xf numFmtId="170" fontId="4" fillId="4" borderId="10" xfId="1" applyNumberFormat="1" applyFont="1" applyFill="1" applyBorder="1" applyAlignment="1">
      <alignment horizontal="left" readingOrder="1"/>
    </xf>
    <xf numFmtId="170" fontId="6" fillId="3" borderId="10" xfId="1" applyNumberFormat="1" applyFont="1" applyFill="1" applyBorder="1" applyAlignment="1">
      <alignment horizontal="left" readingOrder="1"/>
    </xf>
    <xf numFmtId="170" fontId="12" fillId="0" borderId="4" xfId="1" applyNumberFormat="1" applyFont="1" applyBorder="1" applyAlignment="1">
      <alignment horizontal="right" vertical="center" readingOrder="1"/>
    </xf>
    <xf numFmtId="170" fontId="13" fillId="4" borderId="10" xfId="1" applyNumberFormat="1" applyFont="1" applyFill="1" applyBorder="1" applyAlignment="1">
      <alignment horizontal="left" readingOrder="1"/>
    </xf>
    <xf numFmtId="170" fontId="14" fillId="3" borderId="10" xfId="1" applyNumberFormat="1" applyFont="1" applyFill="1" applyBorder="1" applyAlignment="1">
      <alignment horizontal="left" readingOrder="1"/>
    </xf>
    <xf numFmtId="170" fontId="4" fillId="4" borderId="11" xfId="1" applyNumberFormat="1" applyFont="1" applyFill="1" applyBorder="1" applyAlignment="1">
      <alignment horizontal="right" readingOrder="1"/>
    </xf>
    <xf numFmtId="170" fontId="5" fillId="0" borderId="4" xfId="1" applyNumberFormat="1" applyFont="1" applyBorder="1" applyAlignment="1">
      <alignment horizontal="right" readingOrder="1"/>
    </xf>
    <xf numFmtId="170" fontId="4" fillId="4" borderId="12" xfId="1" applyNumberFormat="1" applyFont="1" applyFill="1" applyBorder="1" applyAlignment="1">
      <alignment horizontal="right" readingOrder="1"/>
    </xf>
    <xf numFmtId="4" fontId="0" fillId="5" borderId="0" xfId="0" applyNumberFormat="1" applyFill="1"/>
    <xf numFmtId="170" fontId="0" fillId="5" borderId="0" xfId="0" applyNumberFormat="1" applyFill="1"/>
    <xf numFmtId="4" fontId="9" fillId="5" borderId="0" xfId="0" applyNumberFormat="1" applyFont="1" applyFill="1" applyAlignment="1">
      <alignment vertical="center"/>
    </xf>
    <xf numFmtId="43" fontId="0" fillId="5" borderId="0" xfId="0" applyNumberFormat="1" applyFill="1"/>
    <xf numFmtId="0" fontId="28" fillId="5" borderId="0" xfId="0" applyFont="1" applyFill="1"/>
    <xf numFmtId="170" fontId="28" fillId="5" borderId="0" xfId="0" applyNumberFormat="1" applyFont="1" applyFill="1"/>
    <xf numFmtId="3" fontId="0" fillId="5" borderId="0" xfId="1" applyNumberFormat="1" applyFont="1" applyFill="1"/>
    <xf numFmtId="170" fontId="0" fillId="5" borderId="0" xfId="0" applyNumberFormat="1" applyFill="1" applyAlignment="1">
      <alignment vertical="center"/>
    </xf>
    <xf numFmtId="43" fontId="0" fillId="5" borderId="0" xfId="1" applyFont="1" applyFill="1"/>
    <xf numFmtId="167" fontId="1" fillId="5" borderId="0" xfId="1" applyNumberFormat="1" applyFont="1" applyFill="1" applyAlignment="1">
      <alignment vertical="center"/>
    </xf>
    <xf numFmtId="167" fontId="9" fillId="5" borderId="0" xfId="1" applyNumberFormat="1" applyFont="1" applyFill="1" applyAlignment="1">
      <alignment vertical="center"/>
    </xf>
    <xf numFmtId="167" fontId="11" fillId="5" borderId="0" xfId="1" applyNumberFormat="1" applyFont="1" applyFill="1" applyAlignment="1">
      <alignment vertical="center"/>
    </xf>
    <xf numFmtId="167" fontId="0" fillId="5" borderId="0" xfId="1" applyNumberFormat="1" applyFont="1" applyFill="1" applyAlignment="1">
      <alignment vertical="center"/>
    </xf>
    <xf numFmtId="167" fontId="28" fillId="5" borderId="0" xfId="1" applyNumberFormat="1" applyFont="1" applyFill="1" applyAlignment="1">
      <alignment vertical="center"/>
    </xf>
    <xf numFmtId="174" fontId="0" fillId="5" borderId="0" xfId="0" applyNumberFormat="1" applyFill="1"/>
    <xf numFmtId="170" fontId="12" fillId="0" borderId="4" xfId="1" applyNumberFormat="1" applyFont="1" applyFill="1" applyBorder="1" applyAlignment="1">
      <alignment horizontal="right" vertical="center" readingOrder="1"/>
    </xf>
    <xf numFmtId="0" fontId="3" fillId="2" borderId="8" xfId="0" applyFont="1" applyFill="1" applyBorder="1" applyAlignment="1">
      <alignment horizontal="center" readingOrder="1"/>
    </xf>
  </cellXfs>
  <cellStyles count="21913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44" xfId="21912" xr:uid="{7B701D8C-96B4-4EAA-A941-EBAD63C3E09A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11" xfId="21910" xr:uid="{8F79EA15-5C6A-4271-9D26-EBDF7A93D894}"/>
    <cellStyle name="Normal 112" xfId="21911" xr:uid="{EC11CD35-8CE8-479A-A77A-E06FAFC73780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66"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horizontal style="thin">
          <color theme="4" tint="0.79998168889431442"/>
        </horizontal>
      </border>
    </dxf>
    <dxf>
      <font>
        <b/>
        <i val="0"/>
        <sz val="8"/>
        <color theme="1"/>
      </font>
      <border>
        <vertical/>
        <horizontal/>
      </border>
    </dxf>
    <dxf>
      <font>
        <sz val="8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9" defaultTableStyle="TableStyleMedium2" defaultPivotStyle="PivotStyleLight16">
    <tableStyle name="Sales Report" pivot="0" table="0" count="2" xr9:uid="{ACCB382C-90EE-4126-BC79-FAD940C3110B}">
      <tableStyleElement type="wholeTable" dxfId="65"/>
      <tableStyleElement type="headerRow" dxfId="64"/>
    </tableStyle>
    <tableStyle name="SlicerStyleDark1 2" pivot="0" table="0" count="2" xr9:uid="{6218346F-9FAD-4D28-91FC-DE799F5480F4}">
      <tableStyleElement type="wholeTable" dxfId="63"/>
      <tableStyleElement type="headerRow" dxfId="62"/>
    </tableStyle>
    <tableStyle name="TimeSlicerStyleLight3 2" pivot="0" table="0" count="2" xr9:uid="{C5001CB3-76B2-4A63-AC98-98C0A00D370E}">
      <tableStyleElement type="wholeTable" dxfId="61"/>
      <tableStyleElement type="headerRow" dxfId="60"/>
    </tableStyle>
    <tableStyle name="Crayon_Pivot" table="0" count="10" xr9:uid="{D7445AC3-35F4-4F52-AEE8-963D6A2F8BAE}">
      <tableStyleElement type="wholeTable" dxfId="59"/>
      <tableStyleElement type="headerRow" dxfId="58"/>
      <tableStyleElement type="totalRow" dxfId="57"/>
      <tableStyleElement type="secondRowStripe" dxfId="56"/>
      <tableStyleElement type="secondColumnStripe" dxfId="55"/>
      <tableStyleElement type="first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Crayon_Slicer" pivot="0" table="0" count="2" xr9:uid="{B41ABDA0-1DF1-4A95-B638-F5CFE4CA5C13}">
      <tableStyleElement type="wholeTable" dxfId="49"/>
      <tableStyleElement type="headerRow" dxfId="48"/>
    </tableStyle>
    <tableStyle name="Crayon_Slicer 2" pivot="0" table="0" count="2" xr9:uid="{8EC682C1-59DD-47A9-A097-47B14231595A}">
      <tableStyleElement type="wholeTable" dxfId="47"/>
      <tableStyleElement type="headerRow" dxfId="46"/>
    </tableStyle>
    <tableStyle name="Crayon_Slicer 3" pivot="0" table="0" count="2" xr9:uid="{8CE7D815-1573-42B7-ABD7-D38697DC06CD}">
      <tableStyleElement type="wholeTable" dxfId="45"/>
      <tableStyleElement type="headerRow" dxfId="44"/>
    </tableStyle>
    <tableStyle name="Crayon_Slicer 4" pivot="0" table="0" count="2" xr9:uid="{DE262492-EF33-4C55-8497-418B3420D750}">
      <tableStyleElement type="wholeTable" dxfId="43"/>
      <tableStyleElement type="headerRow" dxfId="42"/>
    </tableStyle>
    <tableStyle name="Crayon_Slicer 10" pivot="0" table="0" count="2" xr9:uid="{6BC09C91-9DCE-4260-9E60-EEF45F45A0AD}">
      <tableStyleElement type="wholeTable" dxfId="41"/>
      <tableStyleElement type="headerRow" dxfId="40"/>
    </tableStyle>
    <tableStyle name="Crayon_Slicer 11" pivot="0" table="0" count="2" xr9:uid="{671D2E52-9DFE-474A-A99D-8A4FB91A07D2}">
      <tableStyleElement type="wholeTable" dxfId="39"/>
      <tableStyleElement type="headerRow" dxfId="38"/>
    </tableStyle>
    <tableStyle name="Crayon_Slicer 12" pivot="0" table="0" count="2" xr9:uid="{717C7A86-E7E3-4365-8D88-0E18C5784544}">
      <tableStyleElement type="wholeTable" dxfId="37"/>
      <tableStyleElement type="headerRow" dxfId="36"/>
    </tableStyle>
    <tableStyle name="Crayon_Slicer 13" pivot="0" table="0" count="2" xr9:uid="{52B04AB6-60E3-4E16-98C1-20C6DC24A39C}">
      <tableStyleElement type="wholeTable" dxfId="35"/>
      <tableStyleElement type="headerRow" dxfId="34"/>
    </tableStyle>
    <tableStyle name="Crayon_Slicer 5" pivot="0" table="0" count="2" xr9:uid="{BDDEA415-F344-4628-AA36-6936789BB5B0}">
      <tableStyleElement type="wholeTable" dxfId="33"/>
      <tableStyleElement type="headerRow" dxfId="32"/>
    </tableStyle>
    <tableStyle name="Crayon_Slicer 6" pivot="0" table="0" count="2" xr9:uid="{A28D7A48-CB72-40B8-B9D0-924484738C16}">
      <tableStyleElement type="wholeTable" dxfId="31"/>
      <tableStyleElement type="headerRow" dxfId="30"/>
    </tableStyle>
    <tableStyle name="Crayon_Slicer 7" pivot="0" table="0" count="2" xr9:uid="{9872D185-9CE5-4ED1-917A-673AD68CE993}">
      <tableStyleElement type="wholeTable" dxfId="29"/>
      <tableStyleElement type="headerRow" dxfId="28"/>
    </tableStyle>
    <tableStyle name="Crayon_Slicer 75" pivot="0" table="0" count="2" xr9:uid="{BC36D448-08DB-40E3-99D4-C7A60D83B328}">
      <tableStyleElement type="wholeTable" dxfId="27"/>
      <tableStyleElement type="headerRow" dxfId="26"/>
    </tableStyle>
    <tableStyle name="Crayon_Slicer 76" pivot="0" table="0" count="2" xr9:uid="{C58F94D6-0F79-4127-9A00-2BB09CBABD32}">
      <tableStyleElement type="wholeTable" dxfId="25"/>
      <tableStyleElement type="headerRow" dxfId="24"/>
    </tableStyle>
    <tableStyle name="Crayon_Slicer 77" pivot="0" table="0" count="2" xr9:uid="{4335322F-4BC4-4EEF-8B1F-09EE4664631B}">
      <tableStyleElement type="wholeTable" dxfId="23"/>
      <tableStyleElement type="headerRow" dxfId="22"/>
    </tableStyle>
    <tableStyle name="Crayon_Slicer 78" pivot="0" table="0" count="2" xr9:uid="{C7749A53-8F20-4DE3-99B4-2742DB1459A8}">
      <tableStyleElement type="wholeTable" dxfId="21"/>
      <tableStyleElement type="headerRow" dxfId="20"/>
    </tableStyle>
    <tableStyle name="Crayon_Slicer 79" pivot="0" table="0" count="2" xr9:uid="{3BBBF6A7-E151-4D31-8EA9-5482191DEAA9}">
      <tableStyleElement type="wholeTable" dxfId="19"/>
      <tableStyleElement type="headerRow" dxfId="18"/>
    </tableStyle>
    <tableStyle name="Crayon_Slicer 8" pivot="0" table="0" count="2" xr9:uid="{2D62D0C7-8DAF-4691-B812-CD82E3CFDE02}">
      <tableStyleElement type="wholeTable" dxfId="17"/>
      <tableStyleElement type="headerRow" dxfId="16"/>
    </tableStyle>
    <tableStyle name="Crayon_Slicer 80" pivot="0" table="0" count="2" xr9:uid="{831004F7-F5AD-4907-90D1-C8B85980C17B}">
      <tableStyleElement type="wholeTable" dxfId="15"/>
      <tableStyleElement type="headerRow" dxfId="14"/>
    </tableStyle>
    <tableStyle name="Crayon_Slicer 81" pivot="0" table="0" count="2" xr9:uid="{FD9F0B38-074B-4FA8-A6EB-6FCD3FB5BFBA}">
      <tableStyleElement type="wholeTable" dxfId="13"/>
      <tableStyleElement type="headerRow" dxfId="12"/>
    </tableStyle>
    <tableStyle name="Crayon_Slicer 82" pivot="0" table="0" count="2" xr9:uid="{B3B7264E-E849-4AD1-B6FC-59705FFE1EE1}">
      <tableStyleElement type="wholeTable" dxfId="11"/>
      <tableStyleElement type="headerRow" dxfId="10"/>
    </tableStyle>
    <tableStyle name="Crayon_Slicer 83" pivot="0" table="0" count="2" xr9:uid="{981147ED-1206-4EAC-80D8-7491322E7DD4}">
      <tableStyleElement type="wholeTable" dxfId="9"/>
      <tableStyleElement type="headerRow" dxfId="8"/>
    </tableStyle>
    <tableStyle name="Crayon_Slicer 84" pivot="0" table="0" count="2" xr9:uid="{4936C566-47C9-4C47-964D-FC4B44998875}">
      <tableStyleElement type="wholeTable" dxfId="7"/>
      <tableStyleElement type="headerRow" dxfId="6"/>
    </tableStyle>
    <tableStyle name="Crayon_Slicer 85" pivot="0" table="0" count="2" xr9:uid="{171B15EC-D921-41CB-B084-D6789F935A37}">
      <tableStyleElement type="wholeTable" dxfId="5"/>
      <tableStyleElement type="headerRow" dxfId="4"/>
    </tableStyle>
    <tableStyle name="Crayon_Slicer 86" pivot="0" table="0" count="2" xr9:uid="{114AA4F4-DA5D-4DD9-A92B-47B8E995A601}">
      <tableStyleElement type="wholeTable" dxfId="3"/>
      <tableStyleElement type="headerRow" dxfId="2"/>
    </tableStyle>
    <tableStyle name="Crayon_Slicer 9" pivot="0" table="0" count="2" xr9:uid="{9BDD34E2-874D-4938-99A1-EE8FAE0F751F}">
      <tableStyleElement type="wholeTable" dxfId="1"/>
      <tableStyleElement type="headerRow" dxfId="0"/>
    </tableStyle>
  </tableStyles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1596886</xdr:colOff>
      <xdr:row>23</xdr:row>
      <xdr:rowOff>11098</xdr:rowOff>
    </xdr:from>
    <xdr:to>
      <xdr:col>11</xdr:col>
      <xdr:colOff>201019</xdr:colOff>
      <xdr:row>27</xdr:row>
      <xdr:rowOff>95334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8855F6-CE80-40B8-9988-B375C9853189}"/>
            </a:ext>
          </a:extLst>
        </xdr:cNvPr>
        <xdr:cNvSpPr txBox="1"/>
      </xdr:nvSpPr>
      <xdr:spPr>
        <a:xfrm>
          <a:off x="1596886" y="4202098"/>
          <a:ext cx="5637393" cy="838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i="1"/>
            <a:t>*Gross Sales was historically reported as revenue, but </a:t>
          </a:r>
          <a:r>
            <a:rPr lang="en-US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following an accounting principle change in Q1 2022,</a:t>
          </a: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revenue from Software &amp; Cloud is recognized on a net basis. Revenue has been restated from Q1 2020.</a:t>
          </a: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information, see Note 3 in the financial report for Q1 2022</a:t>
          </a:r>
          <a:endParaRPr lang="en-US" sz="9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65"/>
  <sheetViews>
    <sheetView workbookViewId="0">
      <pane xSplit="1" topLeftCell="X1" activePane="topRight" state="frozen"/>
      <selection activeCell="N34" sqref="N34"/>
      <selection pane="topRight" activeCell="AC27" sqref="AC27"/>
    </sheetView>
  </sheetViews>
  <sheetFormatPr defaultColWidth="9.28515625" defaultRowHeight="15" x14ac:dyDescent="0.25"/>
  <cols>
    <col min="1" max="1" width="28.5703125" style="52" bestFit="1" customWidth="1"/>
    <col min="2" max="21" width="7.42578125" style="52" customWidth="1"/>
    <col min="22" max="25" width="13.7109375" style="52" bestFit="1" customWidth="1"/>
    <col min="26" max="26" width="11.140625" style="52" bestFit="1" customWidth="1"/>
    <col min="27" max="30" width="13.7109375" style="52" bestFit="1" customWidth="1"/>
    <col min="31" max="34" width="13" style="52" customWidth="1"/>
    <col min="35" max="35" width="23.5703125" style="118" customWidth="1"/>
    <col min="36" max="36" width="12.42578125" style="118" customWidth="1"/>
    <col min="37" max="37" width="16.28515625" style="118" customWidth="1"/>
    <col min="38" max="38" width="23.5703125" style="118" customWidth="1"/>
    <col min="39" max="39" width="9.28515625" style="52"/>
    <col min="40" max="41" width="13.28515625" style="52" bestFit="1" customWidth="1"/>
    <col min="42" max="42" width="12.42578125" style="52" bestFit="1" customWidth="1"/>
    <col min="43" max="16384" width="9.28515625" style="52"/>
  </cols>
  <sheetData>
    <row r="1" spans="1:42" s="46" customFormat="1" x14ac:dyDescent="0.25">
      <c r="A1" s="45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>
        <v>2017</v>
      </c>
      <c r="G1" s="23" t="s">
        <v>5</v>
      </c>
      <c r="H1" s="23" t="s">
        <v>6</v>
      </c>
      <c r="I1" s="23" t="s">
        <v>7</v>
      </c>
      <c r="J1" s="23" t="s">
        <v>8</v>
      </c>
      <c r="K1" s="23">
        <v>2018</v>
      </c>
      <c r="L1" s="23" t="s">
        <v>9</v>
      </c>
      <c r="M1" s="23" t="s">
        <v>10</v>
      </c>
      <c r="N1" s="23" t="s">
        <v>11</v>
      </c>
      <c r="O1" s="23" t="s">
        <v>12</v>
      </c>
      <c r="P1" s="23">
        <v>2019</v>
      </c>
      <c r="Q1" s="23" t="s">
        <v>13</v>
      </c>
      <c r="R1" s="23" t="s">
        <v>14</v>
      </c>
      <c r="S1" s="23" t="s">
        <v>15</v>
      </c>
      <c r="T1" s="23" t="s">
        <v>16</v>
      </c>
      <c r="U1" s="23">
        <v>2020</v>
      </c>
      <c r="V1" s="23" t="s">
        <v>150</v>
      </c>
      <c r="W1" s="23" t="s">
        <v>149</v>
      </c>
      <c r="X1" s="23" t="s">
        <v>148</v>
      </c>
      <c r="Y1" s="23" t="s">
        <v>147</v>
      </c>
      <c r="Z1" s="23">
        <v>2021</v>
      </c>
      <c r="AA1" s="23" t="s">
        <v>146</v>
      </c>
      <c r="AB1" s="23" t="s">
        <v>144</v>
      </c>
      <c r="AC1" s="23" t="s">
        <v>145</v>
      </c>
      <c r="AD1" s="23" t="s">
        <v>17</v>
      </c>
      <c r="AE1" s="23">
        <v>2022</v>
      </c>
      <c r="AF1" s="23" t="s">
        <v>18</v>
      </c>
      <c r="AG1" s="23" t="s">
        <v>151</v>
      </c>
      <c r="AH1" s="23" t="s">
        <v>154</v>
      </c>
      <c r="AI1" s="116"/>
      <c r="AJ1" s="117"/>
      <c r="AK1" s="117"/>
      <c r="AL1" s="117"/>
    </row>
    <row r="2" spans="1:42" s="46" customFormat="1" x14ac:dyDescent="0.25">
      <c r="A2" s="47" t="s">
        <v>19</v>
      </c>
      <c r="B2" s="77">
        <v>1358.5319999999999</v>
      </c>
      <c r="C2" s="77">
        <v>2401.7190000000001</v>
      </c>
      <c r="D2" s="77">
        <v>1249.7311719999998</v>
      </c>
      <c r="E2" s="78">
        <v>2291.7290710000007</v>
      </c>
      <c r="F2" s="78">
        <f>+SUM(B2:E2)</f>
        <v>7301.7112430000006</v>
      </c>
      <c r="G2" s="78">
        <v>1795.0811838838945</v>
      </c>
      <c r="H2" s="78">
        <v>2966.9466242434009</v>
      </c>
      <c r="I2" s="78">
        <v>1545.9320507636041</v>
      </c>
      <c r="J2" s="78">
        <v>2739.5661348715657</v>
      </c>
      <c r="K2" s="78">
        <f t="shared" ref="K2:K17" si="0">+SUM(G2:J2)</f>
        <v>9047.5259937624651</v>
      </c>
      <c r="L2" s="78">
        <v>2639.336577</v>
      </c>
      <c r="M2" s="78">
        <v>4242.6541559999996</v>
      </c>
      <c r="N2" s="78">
        <v>2500.3411240000009</v>
      </c>
      <c r="O2" s="78">
        <v>4235.6881429999994</v>
      </c>
      <c r="P2" s="78">
        <f t="shared" ref="P2:P21" si="1">+SUM(L2:O2)</f>
        <v>13618.02</v>
      </c>
      <c r="Q2" s="78">
        <v>4203.9530000000004</v>
      </c>
      <c r="R2" s="78">
        <v>6095.0441590000009</v>
      </c>
      <c r="S2" s="78">
        <v>3668.1487149999998</v>
      </c>
      <c r="T2" s="78">
        <v>5632.3090000000002</v>
      </c>
      <c r="U2" s="78">
        <f t="shared" ref="U2:U10" si="2">+SUM(Q2:T2)</f>
        <v>19599.454874000003</v>
      </c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118"/>
      <c r="AJ2" s="119"/>
      <c r="AK2" s="117"/>
      <c r="AL2" s="118"/>
      <c r="AM2" s="52"/>
      <c r="AN2" s="52"/>
      <c r="AO2" s="52"/>
    </row>
    <row r="3" spans="1:42" s="34" customFormat="1" x14ac:dyDescent="0.25">
      <c r="A3" s="48" t="s">
        <v>20</v>
      </c>
      <c r="B3" s="79"/>
      <c r="C3" s="79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>
        <v>602.50088800000003</v>
      </c>
      <c r="R3" s="80">
        <v>759.07931700000029</v>
      </c>
      <c r="S3" s="80">
        <v>565.33575800000131</v>
      </c>
      <c r="T3" s="80">
        <v>761.43255199999919</v>
      </c>
      <c r="U3" s="80">
        <f t="shared" si="2"/>
        <v>2688.3485150000006</v>
      </c>
      <c r="V3" s="80">
        <v>735.93</v>
      </c>
      <c r="W3" s="80">
        <v>974.47313184871302</v>
      </c>
      <c r="X3" s="80">
        <v>761.53997217099902</v>
      </c>
      <c r="Y3" s="80">
        <v>1186.84653074517</v>
      </c>
      <c r="Z3" s="80">
        <f>V3+W3+X3+Y3</f>
        <v>3658.7896347648821</v>
      </c>
      <c r="AA3" s="80">
        <v>1071.1720594999999</v>
      </c>
      <c r="AB3" s="80">
        <v>1415.7547943273</v>
      </c>
      <c r="AC3" s="80">
        <v>1205.9907157156199</v>
      </c>
      <c r="AD3" s="80">
        <v>1506.6432212022501</v>
      </c>
      <c r="AE3" s="80">
        <f>AD3+AC3+AB3+AA3</f>
        <v>5199.5607907451695</v>
      </c>
      <c r="AF3" s="80">
        <v>1416.265586</v>
      </c>
      <c r="AG3" s="80">
        <v>1715.4223589999999</v>
      </c>
      <c r="AH3" s="80">
        <v>1460.0641049999999</v>
      </c>
      <c r="AI3" s="120"/>
      <c r="AJ3" s="119"/>
      <c r="AK3" s="119"/>
      <c r="AL3" s="120"/>
      <c r="AM3" s="66"/>
      <c r="AN3" s="52"/>
      <c r="AO3" s="52"/>
    </row>
    <row r="4" spans="1:42" s="46" customFormat="1" x14ac:dyDescent="0.25">
      <c r="A4" s="47" t="s">
        <v>21</v>
      </c>
      <c r="B4" s="77">
        <v>-1088.7280000000001</v>
      </c>
      <c r="C4" s="77">
        <v>-2045.164</v>
      </c>
      <c r="D4" s="77">
        <v>-1021.9790419999999</v>
      </c>
      <c r="E4" s="78">
        <v>-1930.0640250000004</v>
      </c>
      <c r="F4" s="78">
        <f>+SUM(B4:E4)</f>
        <v>-6085.9350670000003</v>
      </c>
      <c r="G4" s="78">
        <v>-1485.3460884973745</v>
      </c>
      <c r="H4" s="78">
        <v>-2559.4177494948713</v>
      </c>
      <c r="I4" s="78">
        <v>-1236.0872547702841</v>
      </c>
      <c r="J4" s="78">
        <v>-2280.5669642231965</v>
      </c>
      <c r="K4" s="78">
        <f t="shared" si="0"/>
        <v>-7561.4180569857253</v>
      </c>
      <c r="L4" s="78">
        <v>-2244.0830899999996</v>
      </c>
      <c r="M4" s="78">
        <v>-3748.9222810000006</v>
      </c>
      <c r="N4" s="78">
        <v>-2107.1951770000001</v>
      </c>
      <c r="O4" s="78">
        <v>-3709.108549999999</v>
      </c>
      <c r="P4" s="78">
        <f t="shared" si="1"/>
        <v>-11809.309098</v>
      </c>
      <c r="Q4" s="78">
        <f>-3688.747</f>
        <v>-3688.7469999999998</v>
      </c>
      <c r="R4" s="78">
        <v>-5429.2050899999995</v>
      </c>
      <c r="S4" s="78">
        <v>-3171.844188</v>
      </c>
      <c r="T4" s="78">
        <f>-4964.874</f>
        <v>-4964.8739999999998</v>
      </c>
      <c r="U4" s="78">
        <f t="shared" si="2"/>
        <v>-17254.670277999998</v>
      </c>
      <c r="V4" s="78">
        <v>-75.855000000000004</v>
      </c>
      <c r="W4" s="78">
        <v>-128.79300000000001</v>
      </c>
      <c r="X4" s="78">
        <v>-108.637</v>
      </c>
      <c r="Y4" s="78">
        <v>-180.8</v>
      </c>
      <c r="Z4" s="78">
        <f>V4+W4+X4+Y4</f>
        <v>-494.08500000000004</v>
      </c>
      <c r="AA4" s="78">
        <v>-111.31399999999999</v>
      </c>
      <c r="AB4" s="78">
        <v>-170.63900000000001</v>
      </c>
      <c r="AC4" s="78">
        <v>-188.35400000000001</v>
      </c>
      <c r="AD4" s="78">
        <v>-233.69367800000299</v>
      </c>
      <c r="AE4" s="78">
        <f>AD4+AC4+AB4+AA4</f>
        <v>-704.00067800000295</v>
      </c>
      <c r="AF4" s="78">
        <v>-158.523045</v>
      </c>
      <c r="AG4" s="78">
        <v>-182.87264200000001</v>
      </c>
      <c r="AH4" s="78">
        <v>-200.20403200000001</v>
      </c>
      <c r="AI4" s="120"/>
      <c r="AJ4" s="117"/>
      <c r="AK4" s="119"/>
      <c r="AL4" s="120"/>
      <c r="AM4" s="66"/>
      <c r="AN4" s="52"/>
      <c r="AO4" s="52"/>
    </row>
    <row r="5" spans="1:42" s="46" customFormat="1" x14ac:dyDescent="0.25">
      <c r="A5" s="48" t="s">
        <v>22</v>
      </c>
      <c r="B5" s="79">
        <f t="shared" ref="B5:T5" si="3">+B2+B4</f>
        <v>269.80399999999986</v>
      </c>
      <c r="C5" s="79">
        <f t="shared" si="3"/>
        <v>356.55500000000006</v>
      </c>
      <c r="D5" s="79">
        <f t="shared" si="3"/>
        <v>227.75212999999985</v>
      </c>
      <c r="E5" s="80">
        <f t="shared" si="3"/>
        <v>361.6650460000003</v>
      </c>
      <c r="F5" s="80">
        <f t="shared" si="3"/>
        <v>1215.7761760000003</v>
      </c>
      <c r="G5" s="80">
        <f t="shared" si="3"/>
        <v>309.73509538652002</v>
      </c>
      <c r="H5" s="80">
        <f t="shared" si="3"/>
        <v>407.52887474852969</v>
      </c>
      <c r="I5" s="80">
        <f t="shared" si="3"/>
        <v>309.84479599332008</v>
      </c>
      <c r="J5" s="80">
        <f t="shared" si="3"/>
        <v>458.99917064836927</v>
      </c>
      <c r="K5" s="80">
        <f t="shared" si="3"/>
        <v>1486.1079367767397</v>
      </c>
      <c r="L5" s="80">
        <f t="shared" si="3"/>
        <v>395.2534870000004</v>
      </c>
      <c r="M5" s="80">
        <f t="shared" si="3"/>
        <v>493.73187499999904</v>
      </c>
      <c r="N5" s="80">
        <f t="shared" si="3"/>
        <v>393.14594700000089</v>
      </c>
      <c r="O5" s="80">
        <f t="shared" si="3"/>
        <v>526.57959300000039</v>
      </c>
      <c r="P5" s="80">
        <f t="shared" si="3"/>
        <v>1808.7109020000007</v>
      </c>
      <c r="Q5" s="80">
        <f t="shared" si="3"/>
        <v>515.20600000000059</v>
      </c>
      <c r="R5" s="80">
        <f t="shared" si="3"/>
        <v>665.83906900000147</v>
      </c>
      <c r="S5" s="80">
        <f t="shared" si="3"/>
        <v>496.30452699999978</v>
      </c>
      <c r="T5" s="80">
        <f t="shared" si="3"/>
        <v>667.4350000000004</v>
      </c>
      <c r="U5" s="80">
        <f t="shared" si="2"/>
        <v>2344.7845960000022</v>
      </c>
      <c r="V5" s="80">
        <f t="shared" ref="V5:AE5" si="4">+V3+V4</f>
        <v>660.07499999999993</v>
      </c>
      <c r="W5" s="80">
        <f t="shared" si="4"/>
        <v>845.68013184871302</v>
      </c>
      <c r="X5" s="80">
        <f t="shared" si="4"/>
        <v>652.90297217099896</v>
      </c>
      <c r="Y5" s="80">
        <f t="shared" si="4"/>
        <v>1006.04653074517</v>
      </c>
      <c r="Z5" s="80">
        <f t="shared" si="4"/>
        <v>3164.704634764882</v>
      </c>
      <c r="AA5" s="80">
        <f t="shared" si="4"/>
        <v>959.85805949999997</v>
      </c>
      <c r="AB5" s="80">
        <f t="shared" si="4"/>
        <v>1245.1157943273001</v>
      </c>
      <c r="AC5" s="80">
        <f t="shared" si="4"/>
        <v>1017.6367157156199</v>
      </c>
      <c r="AD5" s="80">
        <f t="shared" si="4"/>
        <v>1272.949543202247</v>
      </c>
      <c r="AE5" s="80">
        <f t="shared" si="4"/>
        <v>4495.5601127451664</v>
      </c>
      <c r="AF5" s="80">
        <f>+AF3+AF4</f>
        <v>1257.7425410000001</v>
      </c>
      <c r="AG5" s="80">
        <f>+AG3+AG4</f>
        <v>1532.5497169999999</v>
      </c>
      <c r="AH5" s="80">
        <f>+AH3+AH4</f>
        <v>1259.8600729999998</v>
      </c>
      <c r="AI5" s="120"/>
      <c r="AJ5" s="120"/>
      <c r="AK5" s="120"/>
      <c r="AL5" s="118"/>
      <c r="AM5" s="52"/>
      <c r="AN5" s="52"/>
      <c r="AO5" s="52"/>
    </row>
    <row r="6" spans="1:42" s="46" customFormat="1" x14ac:dyDescent="0.25">
      <c r="A6" s="47" t="s">
        <v>23</v>
      </c>
      <c r="B6" s="77">
        <v>-228.43100000000001</v>
      </c>
      <c r="C6" s="77">
        <v>-243.97900000000001</v>
      </c>
      <c r="D6" s="77">
        <v>-204.51884399999997</v>
      </c>
      <c r="E6" s="78">
        <v>-273.64495899999997</v>
      </c>
      <c r="F6" s="78">
        <f>+SUM(B6:E6)</f>
        <v>-950.573803</v>
      </c>
      <c r="G6" s="78">
        <v>-258.63108249824631</v>
      </c>
      <c r="H6" s="78">
        <v>-269.50832999999994</v>
      </c>
      <c r="I6" s="78">
        <v>-258.80639400000001</v>
      </c>
      <c r="J6" s="78">
        <v>-327.79245120999997</v>
      </c>
      <c r="K6" s="78">
        <f t="shared" si="0"/>
        <v>-1114.7382577082462</v>
      </c>
      <c r="L6" s="78">
        <v>-307.68099999999998</v>
      </c>
      <c r="M6" s="78">
        <v>-333.08479</v>
      </c>
      <c r="N6" s="78">
        <v>-309.04225000000002</v>
      </c>
      <c r="O6" s="78">
        <f>-362.880643</f>
        <v>-362.88064300000002</v>
      </c>
      <c r="P6" s="78">
        <f t="shared" si="1"/>
        <v>-1312.6886829999999</v>
      </c>
      <c r="Q6" s="78">
        <f>-395.487</f>
        <v>-395.48700000000002</v>
      </c>
      <c r="R6" s="78">
        <v>-449.879772</v>
      </c>
      <c r="S6" s="78">
        <v>-409.900757</v>
      </c>
      <c r="T6" s="78">
        <f>-461.434</f>
        <v>-461.43400000000003</v>
      </c>
      <c r="U6" s="78">
        <f t="shared" si="2"/>
        <v>-1716.7015290000002</v>
      </c>
      <c r="V6" s="78">
        <v>-491.83300000000003</v>
      </c>
      <c r="W6" s="78">
        <v>-518.57600000000002</v>
      </c>
      <c r="X6" s="78">
        <v>-529.80100000000004</v>
      </c>
      <c r="Y6" s="78">
        <v>-725.70399999999995</v>
      </c>
      <c r="Z6" s="78">
        <f>V6+W6+X6+Y6</f>
        <v>-2265.9139999999998</v>
      </c>
      <c r="AA6" s="78">
        <v>-722.15099999999995</v>
      </c>
      <c r="AB6" s="78">
        <v>-762.16700000000003</v>
      </c>
      <c r="AC6" s="78">
        <v>-742.577</v>
      </c>
      <c r="AD6" s="78">
        <v>-935.35</v>
      </c>
      <c r="AE6" s="78">
        <f>AD6+AC6+AB6+AA6</f>
        <v>-3162.2449999999999</v>
      </c>
      <c r="AF6" s="78">
        <v>-917.25044000000003</v>
      </c>
      <c r="AG6" s="78">
        <v>-1031.9223999999999</v>
      </c>
      <c r="AH6" s="78">
        <v>-926.62762899999996</v>
      </c>
      <c r="AI6" s="120"/>
      <c r="AJ6" s="120"/>
      <c r="AK6" s="119"/>
      <c r="AL6" s="120"/>
      <c r="AM6" s="66"/>
      <c r="AN6" s="52"/>
      <c r="AO6" s="52"/>
    </row>
    <row r="7" spans="1:42" s="46" customFormat="1" x14ac:dyDescent="0.25">
      <c r="A7" s="47" t="s">
        <v>24</v>
      </c>
      <c r="B7" s="77">
        <v>-36.72</v>
      </c>
      <c r="C7" s="77">
        <v>-35.466999999999999</v>
      </c>
      <c r="D7" s="77">
        <v>-43.283851999999996</v>
      </c>
      <c r="E7" s="78">
        <v>-45.890432000000004</v>
      </c>
      <c r="F7" s="78">
        <f>+SUM(B7:E7)</f>
        <v>-161.36128400000001</v>
      </c>
      <c r="G7" s="78">
        <v>-40.592950999999999</v>
      </c>
      <c r="H7" s="78">
        <v>-46.865004919999997</v>
      </c>
      <c r="I7" s="78">
        <v>-51.790621000000002</v>
      </c>
      <c r="J7" s="78">
        <v>-55.065610790000001</v>
      </c>
      <c r="K7" s="78">
        <f t="shared" si="0"/>
        <v>-194.31418771</v>
      </c>
      <c r="L7" s="78">
        <v>-58.256999999999998</v>
      </c>
      <c r="M7" s="78">
        <v>-55.191839999999999</v>
      </c>
      <c r="N7" s="78">
        <v>-52.932569999999998</v>
      </c>
      <c r="O7" s="78">
        <v>-79.715050000000005</v>
      </c>
      <c r="P7" s="78">
        <f t="shared" si="1"/>
        <v>-246.09645999999998</v>
      </c>
      <c r="Q7" s="78">
        <f>-81.223</f>
        <v>-81.222999999999999</v>
      </c>
      <c r="R7" s="78">
        <v>-51.534571999999997</v>
      </c>
      <c r="S7" s="78">
        <v>-54.062699000000002</v>
      </c>
      <c r="T7" s="78">
        <f>-59.85</f>
        <v>-59.85</v>
      </c>
      <c r="U7" s="78">
        <f t="shared" si="2"/>
        <v>-246.67027099999999</v>
      </c>
      <c r="V7" s="78">
        <v>-64.343000000000004</v>
      </c>
      <c r="W7" s="78">
        <v>-71.528000000000006</v>
      </c>
      <c r="X7" s="78">
        <v>-74.305000000000007</v>
      </c>
      <c r="Y7" s="78">
        <v>-108.96640855939501</v>
      </c>
      <c r="Z7" s="78">
        <f>V7+W7+X7+Y7</f>
        <v>-319.14240855939499</v>
      </c>
      <c r="AA7" s="78">
        <v>-121.54886616207401</v>
      </c>
      <c r="AB7" s="78">
        <v>-140.19604201194099</v>
      </c>
      <c r="AC7" s="78">
        <v>-167.27500000000001</v>
      </c>
      <c r="AD7" s="78">
        <v>-152.815191809156</v>
      </c>
      <c r="AE7" s="78">
        <f>AD7+AC7+AB7+AA7</f>
        <v>-581.83509998317095</v>
      </c>
      <c r="AF7" s="78">
        <v>-156.825185</v>
      </c>
      <c r="AG7" s="78">
        <v>-204.534582</v>
      </c>
      <c r="AH7" s="78">
        <v>-198.118224</v>
      </c>
      <c r="AI7" s="120"/>
      <c r="AJ7" s="120"/>
      <c r="AK7" s="119"/>
      <c r="AL7" s="120"/>
      <c r="AM7" s="66"/>
      <c r="AN7" s="52"/>
      <c r="AO7" s="52"/>
    </row>
    <row r="8" spans="1:42" s="46" customFormat="1" x14ac:dyDescent="0.25">
      <c r="A8" s="50" t="s">
        <v>25</v>
      </c>
      <c r="B8" s="81">
        <f>+B6+B7</f>
        <v>-265.15100000000001</v>
      </c>
      <c r="C8" s="81">
        <f t="shared" ref="C8:L8" si="5">+C6+C7</f>
        <v>-279.44600000000003</v>
      </c>
      <c r="D8" s="81">
        <f t="shared" si="5"/>
        <v>-247.80269599999997</v>
      </c>
      <c r="E8" s="82">
        <f t="shared" si="5"/>
        <v>-319.535391</v>
      </c>
      <c r="F8" s="82">
        <f t="shared" si="5"/>
        <v>-1111.9350870000001</v>
      </c>
      <c r="G8" s="82">
        <f t="shared" si="5"/>
        <v>-299.22403349824629</v>
      </c>
      <c r="H8" s="82">
        <f t="shared" si="5"/>
        <v>-316.37333491999993</v>
      </c>
      <c r="I8" s="82">
        <f t="shared" si="5"/>
        <v>-310.597015</v>
      </c>
      <c r="J8" s="82">
        <f t="shared" si="5"/>
        <v>-382.85806199999996</v>
      </c>
      <c r="K8" s="82">
        <f t="shared" si="5"/>
        <v>-1309.0524454182462</v>
      </c>
      <c r="L8" s="82">
        <f t="shared" si="5"/>
        <v>-365.93799999999999</v>
      </c>
      <c r="M8" s="82">
        <f>+M6+M7</f>
        <v>-388.27663000000001</v>
      </c>
      <c r="N8" s="82">
        <f>+N6+N7</f>
        <v>-361.97482000000002</v>
      </c>
      <c r="O8" s="82">
        <f>+O6+O7</f>
        <v>-442.59569300000004</v>
      </c>
      <c r="P8" s="82">
        <f t="shared" ref="P8" si="6">+P6+P7</f>
        <v>-1558.7851429999998</v>
      </c>
      <c r="Q8" s="82">
        <f>+Q6+Q7</f>
        <v>-476.71000000000004</v>
      </c>
      <c r="R8" s="82">
        <f>+R6+R7</f>
        <v>-501.41434400000003</v>
      </c>
      <c r="S8" s="82">
        <f>+S6+S7</f>
        <v>-463.96345600000001</v>
      </c>
      <c r="T8" s="82">
        <f>+T6+T7</f>
        <v>-521.28399999999999</v>
      </c>
      <c r="U8" s="82">
        <f t="shared" si="2"/>
        <v>-1963.3717999999999</v>
      </c>
      <c r="V8" s="82">
        <f t="shared" ref="V8:X8" si="7">+V6+V7</f>
        <v>-556.17600000000004</v>
      </c>
      <c r="W8" s="82">
        <f t="shared" si="7"/>
        <v>-590.10400000000004</v>
      </c>
      <c r="X8" s="82">
        <f t="shared" si="7"/>
        <v>-604.10599999999999</v>
      </c>
      <c r="Y8" s="82">
        <f>+Y6+Y7</f>
        <v>-834.6704085593949</v>
      </c>
      <c r="Z8" s="82">
        <f>V8+W8+X8+Y8</f>
        <v>-2585.0564085593951</v>
      </c>
      <c r="AA8" s="82">
        <f>+AA6+AA7</f>
        <v>-843.69986616207393</v>
      </c>
      <c r="AB8" s="82">
        <f>+AB6+AB7</f>
        <v>-902.36304201194105</v>
      </c>
      <c r="AC8" s="82">
        <f>+AC6+AC7</f>
        <v>-909.85199999999998</v>
      </c>
      <c r="AD8" s="82">
        <f>(+AD6+AD7)</f>
        <v>-1088.1651918091561</v>
      </c>
      <c r="AE8" s="82">
        <f>(+AE6+AE7)</f>
        <v>-3744.0800999831708</v>
      </c>
      <c r="AF8" s="82">
        <f>+AF6+AF7</f>
        <v>-1074.0756249999999</v>
      </c>
      <c r="AG8" s="82">
        <f>+AG6+AG7</f>
        <v>-1236.4569819999999</v>
      </c>
      <c r="AH8" s="82">
        <f>+AH6+AH7</f>
        <v>-1124.7458529999999</v>
      </c>
      <c r="AI8" s="120"/>
      <c r="AJ8" s="120"/>
      <c r="AK8" s="120"/>
      <c r="AL8" s="118"/>
      <c r="AM8" s="52"/>
      <c r="AN8" s="52"/>
      <c r="AO8" s="52"/>
    </row>
    <row r="9" spans="1:42" s="46" customFormat="1" x14ac:dyDescent="0.25">
      <c r="A9" s="48" t="s">
        <v>26</v>
      </c>
      <c r="B9" s="79">
        <f t="shared" ref="B9:T9" si="8">+B5+B8</f>
        <v>4.6529999999998495</v>
      </c>
      <c r="C9" s="79">
        <f t="shared" si="8"/>
        <v>77.109000000000037</v>
      </c>
      <c r="D9" s="79">
        <f t="shared" si="8"/>
        <v>-20.050566000000117</v>
      </c>
      <c r="E9" s="80">
        <f t="shared" si="8"/>
        <v>42.129655000000298</v>
      </c>
      <c r="F9" s="80">
        <f t="shared" si="8"/>
        <v>103.84108900000024</v>
      </c>
      <c r="G9" s="80">
        <f t="shared" si="8"/>
        <v>10.51106188827373</v>
      </c>
      <c r="H9" s="80">
        <f t="shared" si="8"/>
        <v>91.155539828529754</v>
      </c>
      <c r="I9" s="80">
        <f t="shared" si="8"/>
        <v>-0.75221900667992259</v>
      </c>
      <c r="J9" s="80">
        <f t="shared" si="8"/>
        <v>76.141108648369311</v>
      </c>
      <c r="K9" s="80">
        <f t="shared" si="8"/>
        <v>177.05549135849355</v>
      </c>
      <c r="L9" s="80">
        <f t="shared" si="8"/>
        <v>29.315487000000417</v>
      </c>
      <c r="M9" s="80">
        <f t="shared" si="8"/>
        <v>105.45524499999902</v>
      </c>
      <c r="N9" s="80">
        <f t="shared" si="8"/>
        <v>31.171127000000865</v>
      </c>
      <c r="O9" s="80">
        <f t="shared" si="8"/>
        <v>83.983900000000347</v>
      </c>
      <c r="P9" s="80">
        <f t="shared" si="8"/>
        <v>249.92575900000088</v>
      </c>
      <c r="Q9" s="80">
        <f t="shared" si="8"/>
        <v>38.496000000000549</v>
      </c>
      <c r="R9" s="80">
        <f t="shared" si="8"/>
        <v>164.42472500000144</v>
      </c>
      <c r="S9" s="80">
        <f t="shared" si="8"/>
        <v>32.341070999999772</v>
      </c>
      <c r="T9" s="80">
        <f t="shared" si="8"/>
        <v>146.15100000000041</v>
      </c>
      <c r="U9" s="80">
        <f t="shared" si="2"/>
        <v>381.41279600000217</v>
      </c>
      <c r="V9" s="80">
        <f t="shared" ref="V9:Y9" si="9">+V5+V8</f>
        <v>103.89899999999989</v>
      </c>
      <c r="W9" s="80">
        <f t="shared" si="9"/>
        <v>255.57613184871298</v>
      </c>
      <c r="X9" s="80">
        <f t="shared" si="9"/>
        <v>48.79697217099897</v>
      </c>
      <c r="Y9" s="80">
        <f t="shared" si="9"/>
        <v>171.3761221857751</v>
      </c>
      <c r="Z9" s="80">
        <f>V9+W9+X9+Y9</f>
        <v>579.64822620548694</v>
      </c>
      <c r="AA9" s="80">
        <f t="shared" ref="AA9:AD9" si="10">+AA5+AA8</f>
        <v>116.15819333792604</v>
      </c>
      <c r="AB9" s="80">
        <f t="shared" si="10"/>
        <v>342.75275231535909</v>
      </c>
      <c r="AC9" s="80">
        <f t="shared" si="10"/>
        <v>107.78471571561988</v>
      </c>
      <c r="AD9" s="80">
        <f t="shared" si="10"/>
        <v>184.7843513930909</v>
      </c>
      <c r="AE9" s="80">
        <f>+AE5+AE8</f>
        <v>751.48001276199557</v>
      </c>
      <c r="AF9" s="80">
        <f t="shared" ref="AF9:AH9" si="11">+AF5+AF8</f>
        <v>183.66691600000013</v>
      </c>
      <c r="AG9" s="80">
        <f t="shared" si="11"/>
        <v>296.09273499999995</v>
      </c>
      <c r="AH9" s="80">
        <f t="shared" si="11"/>
        <v>135.11421999999993</v>
      </c>
      <c r="AI9" s="120"/>
      <c r="AJ9" s="120"/>
      <c r="AK9" s="120"/>
      <c r="AL9" s="118"/>
      <c r="AM9" s="52"/>
      <c r="AN9" s="52"/>
      <c r="AO9" s="52"/>
    </row>
    <row r="10" spans="1:42" s="46" customFormat="1" x14ac:dyDescent="0.25">
      <c r="A10" s="47" t="s">
        <v>27</v>
      </c>
      <c r="B10" s="77">
        <v>0.27200000000000002</v>
      </c>
      <c r="C10" s="77">
        <v>0.20300000000000001</v>
      </c>
      <c r="D10" s="77">
        <v>10.704587999999999</v>
      </c>
      <c r="E10" s="78">
        <v>15.579000000000001</v>
      </c>
      <c r="F10" s="78">
        <f>+SUM(B10:E10)</f>
        <v>26.758588</v>
      </c>
      <c r="G10" s="78">
        <v>2.8170000000000002</v>
      </c>
      <c r="H10" s="78">
        <v>0.61699999999999999</v>
      </c>
      <c r="I10" s="78">
        <v>6.1006730454097005</v>
      </c>
      <c r="J10" s="78">
        <v>1.5509827899999999</v>
      </c>
      <c r="K10" s="78">
        <f>+SUM(G10:J10)</f>
        <v>11.0856558354097</v>
      </c>
      <c r="L10" s="78">
        <v>6.4660000000000002</v>
      </c>
      <c r="M10" s="78">
        <v>18.81737</v>
      </c>
      <c r="N10" s="78">
        <v>3.1360000000000001</v>
      </c>
      <c r="O10" s="78">
        <v>13.896700000000001</v>
      </c>
      <c r="P10" s="78">
        <f>+SUM(L10:O10)</f>
        <v>42.316070000000003</v>
      </c>
      <c r="Q10" s="78">
        <v>2.105</v>
      </c>
      <c r="R10" s="78">
        <v>6.7625013000000003</v>
      </c>
      <c r="S10" s="78">
        <v>31.611955000000002</v>
      </c>
      <c r="T10" s="78">
        <v>-8.9909999999999997</v>
      </c>
      <c r="U10" s="78">
        <f t="shared" si="2"/>
        <v>31.488456300000003</v>
      </c>
      <c r="V10" s="78">
        <v>11.819983000000001</v>
      </c>
      <c r="W10" s="78">
        <v>-3.8899036462950027</v>
      </c>
      <c r="X10" s="78">
        <v>20.958597756294999</v>
      </c>
      <c r="Y10" s="78">
        <v>35.036999999999999</v>
      </c>
      <c r="Z10" s="78">
        <v>63.926000000000002</v>
      </c>
      <c r="AA10" s="78">
        <v>6.8520000000000003</v>
      </c>
      <c r="AB10" s="78">
        <v>2.3873089995379999</v>
      </c>
      <c r="AC10" s="78">
        <v>5.2714571027666901</v>
      </c>
      <c r="AD10" s="78">
        <v>73.224928190843897</v>
      </c>
      <c r="AE10" s="78">
        <f>AD10+AC10+AB10+AA10</f>
        <v>87.735694293148583</v>
      </c>
      <c r="AF10" s="78">
        <v>1.159513</v>
      </c>
      <c r="AG10" s="78">
        <v>55.391624</v>
      </c>
      <c r="AH10" s="78">
        <v>7.4324979999999998</v>
      </c>
      <c r="AI10" s="120"/>
      <c r="AJ10" s="120"/>
      <c r="AK10" s="119"/>
      <c r="AL10" s="120"/>
      <c r="AM10" s="66"/>
      <c r="AN10" s="52"/>
      <c r="AO10" s="52"/>
    </row>
    <row r="11" spans="1:42" s="46" customFormat="1" x14ac:dyDescent="0.25">
      <c r="A11" s="48" t="s">
        <v>28</v>
      </c>
      <c r="B11" s="79">
        <f t="shared" ref="B11:AC11" si="12">+B9+B10</f>
        <v>4.9249999999998497</v>
      </c>
      <c r="C11" s="79">
        <f t="shared" si="12"/>
        <v>77.31200000000004</v>
      </c>
      <c r="D11" s="79">
        <f t="shared" si="12"/>
        <v>-9.3459780000001178</v>
      </c>
      <c r="E11" s="80">
        <f t="shared" si="12"/>
        <v>57.708655000000299</v>
      </c>
      <c r="F11" s="80">
        <f t="shared" si="12"/>
        <v>130.59967700000024</v>
      </c>
      <c r="G11" s="80">
        <f t="shared" si="12"/>
        <v>13.32806188827373</v>
      </c>
      <c r="H11" s="80">
        <f t="shared" si="12"/>
        <v>91.772539828529759</v>
      </c>
      <c r="I11" s="80">
        <f t="shared" si="12"/>
        <v>5.3484540387297779</v>
      </c>
      <c r="J11" s="80">
        <f t="shared" si="12"/>
        <v>77.692091438369317</v>
      </c>
      <c r="K11" s="80">
        <f t="shared" si="12"/>
        <v>188.14114719390327</v>
      </c>
      <c r="L11" s="80">
        <f t="shared" si="12"/>
        <v>35.781487000000418</v>
      </c>
      <c r="M11" s="80">
        <f t="shared" si="12"/>
        <v>124.27261499999902</v>
      </c>
      <c r="N11" s="80">
        <f t="shared" si="12"/>
        <v>34.307127000000868</v>
      </c>
      <c r="O11" s="80">
        <f t="shared" si="12"/>
        <v>97.880600000000342</v>
      </c>
      <c r="P11" s="80">
        <f t="shared" si="12"/>
        <v>292.24182900000091</v>
      </c>
      <c r="Q11" s="80">
        <f t="shared" si="12"/>
        <v>40.601000000000546</v>
      </c>
      <c r="R11" s="80">
        <f t="shared" si="12"/>
        <v>171.18722630000144</v>
      </c>
      <c r="S11" s="80">
        <f t="shared" si="12"/>
        <v>63.953025999999774</v>
      </c>
      <c r="T11" s="80">
        <f t="shared" si="12"/>
        <v>137.16000000000042</v>
      </c>
      <c r="U11" s="80">
        <f t="shared" si="12"/>
        <v>412.90125230000217</v>
      </c>
      <c r="V11" s="80">
        <f t="shared" si="12"/>
        <v>115.71898299999989</v>
      </c>
      <c r="W11" s="80">
        <f t="shared" si="12"/>
        <v>251.68622820241796</v>
      </c>
      <c r="X11" s="80">
        <f t="shared" si="12"/>
        <v>69.755569927293976</v>
      </c>
      <c r="Y11" s="80">
        <f t="shared" si="12"/>
        <v>206.41312218577511</v>
      </c>
      <c r="Z11" s="80">
        <f t="shared" si="12"/>
        <v>643.57422620548698</v>
      </c>
      <c r="AA11" s="80">
        <f t="shared" si="12"/>
        <v>123.01019333792604</v>
      </c>
      <c r="AB11" s="80">
        <f t="shared" si="12"/>
        <v>345.14006131489708</v>
      </c>
      <c r="AC11" s="80">
        <f t="shared" si="12"/>
        <v>113.05617281838657</v>
      </c>
      <c r="AD11" s="80">
        <f t="shared" ref="AD11:AF11" si="13">+AD9+AD10</f>
        <v>258.00927958393481</v>
      </c>
      <c r="AE11" s="80">
        <f t="shared" si="13"/>
        <v>839.21570705514409</v>
      </c>
      <c r="AF11" s="80">
        <f t="shared" si="13"/>
        <v>184.82642900000013</v>
      </c>
      <c r="AG11" s="80">
        <f t="shared" ref="AG11:AH11" si="14">+AG9+AG10</f>
        <v>351.48435899999993</v>
      </c>
      <c r="AH11" s="80">
        <f t="shared" si="14"/>
        <v>142.54671799999994</v>
      </c>
      <c r="AI11" s="120"/>
      <c r="AJ11" s="120"/>
      <c r="AK11" s="120"/>
      <c r="AL11" s="118"/>
      <c r="AM11" s="52"/>
      <c r="AN11" s="52"/>
      <c r="AO11" s="52"/>
    </row>
    <row r="12" spans="1:42" s="46" customFormat="1" x14ac:dyDescent="0.25">
      <c r="A12" s="49" t="s">
        <v>29</v>
      </c>
      <c r="B12" s="83">
        <f t="shared" ref="B12:AB12" si="15">+B11/B5</f>
        <v>1.8253991786629748E-2</v>
      </c>
      <c r="C12" s="83">
        <f t="shared" si="15"/>
        <v>0.21683050300795118</v>
      </c>
      <c r="D12" s="83">
        <f t="shared" si="15"/>
        <v>-4.1035743551553719E-2</v>
      </c>
      <c r="E12" s="84">
        <f t="shared" si="15"/>
        <v>0.15956381640486278</v>
      </c>
      <c r="F12" s="84">
        <f t="shared" si="15"/>
        <v>0.10742082266300323</v>
      </c>
      <c r="G12" s="84">
        <f t="shared" si="15"/>
        <v>4.303051893955244E-2</v>
      </c>
      <c r="H12" s="84">
        <f t="shared" si="15"/>
        <v>0.22519272992658262</v>
      </c>
      <c r="I12" s="84">
        <f t="shared" si="15"/>
        <v>1.7261719763868762E-2</v>
      </c>
      <c r="J12" s="84">
        <f t="shared" si="15"/>
        <v>0.16926412160750456</v>
      </c>
      <c r="K12" s="84">
        <f t="shared" si="15"/>
        <v>0.12659992086575336</v>
      </c>
      <c r="L12" s="84">
        <f t="shared" si="15"/>
        <v>9.0527947701573047E-2</v>
      </c>
      <c r="M12" s="84">
        <f t="shared" si="15"/>
        <v>0.25170061179460868</v>
      </c>
      <c r="N12" s="84">
        <f t="shared" si="15"/>
        <v>8.7263081971949694E-2</v>
      </c>
      <c r="O12" s="84">
        <f t="shared" si="15"/>
        <v>0.18587997199504136</v>
      </c>
      <c r="P12" s="84">
        <f t="shared" si="15"/>
        <v>0.16157464892639917</v>
      </c>
      <c r="Q12" s="84">
        <f t="shared" si="15"/>
        <v>7.8805371055462287E-2</v>
      </c>
      <c r="R12" s="84">
        <f t="shared" si="15"/>
        <v>0.25710000249324672</v>
      </c>
      <c r="S12" s="84">
        <f t="shared" si="15"/>
        <v>0.12885843775509184</v>
      </c>
      <c r="T12" s="84">
        <f t="shared" si="15"/>
        <v>0.205503157610854</v>
      </c>
      <c r="U12" s="84">
        <f t="shared" si="15"/>
        <v>0.17609346845948051</v>
      </c>
      <c r="V12" s="84">
        <f t="shared" si="15"/>
        <v>0.17531187062076264</v>
      </c>
      <c r="W12" s="84">
        <f t="shared" si="15"/>
        <v>0.29761397805599987</v>
      </c>
      <c r="X12" s="84">
        <f t="shared" si="15"/>
        <v>0.10683910611609929</v>
      </c>
      <c r="Y12" s="84">
        <f t="shared" si="15"/>
        <v>0.20517254011391173</v>
      </c>
      <c r="Z12" s="84">
        <f t="shared" si="15"/>
        <v>0.20335996577238261</v>
      </c>
      <c r="AA12" s="84">
        <f t="shared" si="15"/>
        <v>0.12815456631369365</v>
      </c>
      <c r="AB12" s="84">
        <f t="shared" si="15"/>
        <v>0.27719515155726238</v>
      </c>
      <c r="AC12" s="84">
        <f>+AC11/AC5</f>
        <v>0.11109679031075791</v>
      </c>
      <c r="AD12" s="84">
        <f t="shared" ref="AD12:AE12" si="16">+AD11/AD5</f>
        <v>0.20268617948114706</v>
      </c>
      <c r="AE12" s="84">
        <f t="shared" si="16"/>
        <v>0.18667656220988355</v>
      </c>
      <c r="AF12" s="84">
        <f>+AF11/AF5</f>
        <v>0.14695092435455764</v>
      </c>
      <c r="AG12" s="84">
        <f>+AG11/AG5</f>
        <v>0.22934613807377052</v>
      </c>
      <c r="AH12" s="84">
        <f>+AH11/AH5</f>
        <v>0.1131448809712378</v>
      </c>
      <c r="AI12" s="120"/>
      <c r="AJ12" s="120"/>
      <c r="AK12" s="120"/>
      <c r="AL12" s="118"/>
      <c r="AM12" s="52"/>
      <c r="AN12" s="52"/>
      <c r="AO12" s="52"/>
    </row>
    <row r="13" spans="1:42" s="46" customFormat="1" x14ac:dyDescent="0.25">
      <c r="A13" s="47" t="s">
        <v>30</v>
      </c>
      <c r="B13" s="77">
        <v>-2.44</v>
      </c>
      <c r="C13" s="77">
        <v>-2.419</v>
      </c>
      <c r="D13" s="77">
        <v>-2.3908480000000019</v>
      </c>
      <c r="E13" s="78">
        <v>-2.4520189999999928</v>
      </c>
      <c r="F13" s="78">
        <f>+SUM(B13:E13)</f>
        <v>-9.7018669999999947</v>
      </c>
      <c r="G13" s="78">
        <v>-2.543521999999999</v>
      </c>
      <c r="H13" s="78">
        <v>-2.5604760000000004</v>
      </c>
      <c r="I13" s="78">
        <v>-3.0160959999999979</v>
      </c>
      <c r="J13" s="78">
        <v>-3.4613190000000102</v>
      </c>
      <c r="K13" s="78">
        <f t="shared" si="0"/>
        <v>-11.581413000000007</v>
      </c>
      <c r="L13" s="78">
        <v>-9.1533999999999995</v>
      </c>
      <c r="M13" s="78">
        <v>-10.851279999999999</v>
      </c>
      <c r="N13" s="78">
        <v>-9.6340299999999992</v>
      </c>
      <c r="O13" s="78">
        <f>-10.9854</f>
        <v>-10.9854</v>
      </c>
      <c r="P13" s="78">
        <f t="shared" si="1"/>
        <v>-40.624110000000002</v>
      </c>
      <c r="Q13" s="78">
        <f>-12.493854</f>
        <v>-12.493854000000001</v>
      </c>
      <c r="R13" s="78">
        <v>-13.142138999999998</v>
      </c>
      <c r="S13" s="78">
        <v>-13.927787</v>
      </c>
      <c r="T13" s="78">
        <f>-14.514</f>
        <v>-14.513999999999999</v>
      </c>
      <c r="U13" s="78">
        <f>+SUM(Q13:T13)</f>
        <v>-54.077780000000004</v>
      </c>
      <c r="V13" s="78">
        <v>-14.504168999999999</v>
      </c>
      <c r="W13" s="78">
        <v>-17.202220000000001</v>
      </c>
      <c r="X13" s="78">
        <v>-16.695772999999999</v>
      </c>
      <c r="Y13" s="78">
        <v>-20.520457</v>
      </c>
      <c r="Z13" s="78">
        <f t="shared" ref="Z13:Z21" si="17">V13+W13+X13+Y13</f>
        <v>-68.922618999999997</v>
      </c>
      <c r="AA13" s="78">
        <f>-23.257</f>
        <v>-23.257000000000001</v>
      </c>
      <c r="AB13" s="78">
        <v>-26.660299999999999</v>
      </c>
      <c r="AC13" s="78">
        <v>-23.499661</v>
      </c>
      <c r="AD13" s="78">
        <v>-37.433999999999997</v>
      </c>
      <c r="AE13" s="78">
        <f>AD13+AC13+AB13+AA13</f>
        <v>-110.85096100000001</v>
      </c>
      <c r="AF13" s="78">
        <v>-29.166440000000001</v>
      </c>
      <c r="AG13" s="78">
        <v>-30.599668999999999</v>
      </c>
      <c r="AH13" s="78">
        <v>-33.289766999999998</v>
      </c>
      <c r="AI13" s="120"/>
      <c r="AJ13" s="120"/>
      <c r="AK13" s="119"/>
      <c r="AL13" s="120"/>
      <c r="AM13" s="66"/>
      <c r="AN13" s="52"/>
      <c r="AO13" s="52"/>
    </row>
    <row r="14" spans="1:42" s="46" customFormat="1" x14ac:dyDescent="0.25">
      <c r="A14" s="47" t="s">
        <v>31</v>
      </c>
      <c r="B14" s="77">
        <v>-12.836</v>
      </c>
      <c r="C14" s="77">
        <v>-14.690000000000001</v>
      </c>
      <c r="D14" s="77">
        <v>-13.787483999999997</v>
      </c>
      <c r="E14" s="78">
        <v>-20.668138000000006</v>
      </c>
      <c r="F14" s="78">
        <f>+SUM(B14:E14)</f>
        <v>-61.981622000000009</v>
      </c>
      <c r="G14" s="78">
        <v>-15.167457000000001</v>
      </c>
      <c r="H14" s="78">
        <v>-15.895833</v>
      </c>
      <c r="I14" s="78">
        <v>-16.434480999999998</v>
      </c>
      <c r="J14" s="78">
        <v>-17.399593999999997</v>
      </c>
      <c r="K14" s="78">
        <f t="shared" si="0"/>
        <v>-64.897364999999994</v>
      </c>
      <c r="L14" s="78">
        <v>-17.283259999999999</v>
      </c>
      <c r="M14" s="78">
        <v>-18.082740000000001</v>
      </c>
      <c r="N14" s="78">
        <v>-18.309049999999999</v>
      </c>
      <c r="O14" s="78">
        <f>-78.56901</f>
        <v>-78.569010000000006</v>
      </c>
      <c r="P14" s="78">
        <f t="shared" si="1"/>
        <v>-132.24405999999999</v>
      </c>
      <c r="Q14" s="78">
        <f>-20.134617</f>
        <v>-20.134616999999999</v>
      </c>
      <c r="R14" s="78">
        <v>-21.466191999999999</v>
      </c>
      <c r="S14" s="78">
        <v>-21.945461999999999</v>
      </c>
      <c r="T14" s="78">
        <f>-22.677</f>
        <v>-22.677</v>
      </c>
      <c r="U14" s="78">
        <f>+SUM(Q14:T14)</f>
        <v>-86.223270999999997</v>
      </c>
      <c r="V14" s="78">
        <v>-21.580739000000001</v>
      </c>
      <c r="W14" s="78">
        <v>-22.568017999999999</v>
      </c>
      <c r="X14" s="78">
        <v>-24.653499</v>
      </c>
      <c r="Y14" s="78">
        <v>-36.817877000000003</v>
      </c>
      <c r="Z14" s="78">
        <f t="shared" si="17"/>
        <v>-105.62013300000001</v>
      </c>
      <c r="AA14" s="78">
        <f>-45.445</f>
        <v>-45.445</v>
      </c>
      <c r="AB14" s="78">
        <v>-47.482999999999997</v>
      </c>
      <c r="AC14" s="78">
        <v>-49.067383999999997</v>
      </c>
      <c r="AD14" s="78">
        <f>-50.17-31.328</f>
        <v>-81.498000000000005</v>
      </c>
      <c r="AE14" s="78">
        <f>AD14+AC14+AB14+AA14</f>
        <v>-223.49338399999999</v>
      </c>
      <c r="AF14" s="78">
        <v>-52.326011999999999</v>
      </c>
      <c r="AG14" s="78">
        <v>-48.820036999999999</v>
      </c>
      <c r="AH14" s="78">
        <v>-32.388748999999997</v>
      </c>
      <c r="AI14" s="120"/>
      <c r="AJ14" s="120"/>
      <c r="AK14" s="119"/>
      <c r="AL14" s="120"/>
      <c r="AM14" s="66"/>
      <c r="AN14" s="52"/>
      <c r="AO14" s="52"/>
      <c r="AP14" s="109"/>
    </row>
    <row r="15" spans="1:42" s="46" customFormat="1" x14ac:dyDescent="0.25">
      <c r="A15" s="48" t="s">
        <v>32</v>
      </c>
      <c r="B15" s="79">
        <f t="shared" ref="B15:AB15" si="18">+B9+B13+B14</f>
        <v>-10.62300000000015</v>
      </c>
      <c r="C15" s="79">
        <f t="shared" si="18"/>
        <v>60.000000000000043</v>
      </c>
      <c r="D15" s="79">
        <f t="shared" si="18"/>
        <v>-36.228898000000115</v>
      </c>
      <c r="E15" s="80">
        <f t="shared" si="18"/>
        <v>19.009498000000299</v>
      </c>
      <c r="F15" s="80">
        <f t="shared" si="18"/>
        <v>32.157600000000237</v>
      </c>
      <c r="G15" s="80">
        <f t="shared" si="18"/>
        <v>-7.1999171117262701</v>
      </c>
      <c r="H15" s="80">
        <f t="shared" si="18"/>
        <v>72.699230828529764</v>
      </c>
      <c r="I15" s="80">
        <f t="shared" si="18"/>
        <v>-20.202796006679918</v>
      </c>
      <c r="J15" s="80">
        <f t="shared" si="18"/>
        <v>55.280195648369315</v>
      </c>
      <c r="K15" s="80">
        <f t="shared" si="18"/>
        <v>100.57671335849356</v>
      </c>
      <c r="L15" s="80">
        <f t="shared" si="18"/>
        <v>2.8788270000004204</v>
      </c>
      <c r="M15" s="80">
        <f t="shared" si="18"/>
        <v>76.521224999999021</v>
      </c>
      <c r="N15" s="80">
        <f t="shared" si="18"/>
        <v>3.228047000000867</v>
      </c>
      <c r="O15" s="80">
        <f t="shared" si="18"/>
        <v>-5.5705099999996577</v>
      </c>
      <c r="P15" s="80">
        <f t="shared" si="18"/>
        <v>77.057589000000888</v>
      </c>
      <c r="Q15" s="80">
        <f t="shared" si="18"/>
        <v>5.8675290000005518</v>
      </c>
      <c r="R15" s="80">
        <f t="shared" si="18"/>
        <v>129.81639400000145</v>
      </c>
      <c r="S15" s="80">
        <f t="shared" si="18"/>
        <v>-3.5321780000002292</v>
      </c>
      <c r="T15" s="80">
        <f t="shared" si="18"/>
        <v>108.96000000000041</v>
      </c>
      <c r="U15" s="80">
        <f t="shared" si="18"/>
        <v>241.11174500000214</v>
      </c>
      <c r="V15" s="80">
        <f t="shared" si="18"/>
        <v>67.814091999999874</v>
      </c>
      <c r="W15" s="80">
        <f t="shared" si="18"/>
        <v>215.80589384871297</v>
      </c>
      <c r="X15" s="80">
        <f t="shared" si="18"/>
        <v>7.4477001709989672</v>
      </c>
      <c r="Y15" s="80">
        <f t="shared" si="18"/>
        <v>114.0377881857751</v>
      </c>
      <c r="Z15" s="80">
        <f t="shared" si="17"/>
        <v>405.10547420548698</v>
      </c>
      <c r="AA15" s="80">
        <f t="shared" si="18"/>
        <v>47.456193337926031</v>
      </c>
      <c r="AB15" s="80">
        <f t="shared" si="18"/>
        <v>268.60945231535908</v>
      </c>
      <c r="AC15" s="80">
        <f>+AC9+AC13+AC14</f>
        <v>35.217670715619882</v>
      </c>
      <c r="AD15" s="80">
        <f t="shared" ref="AD15:AE15" si="19">+AD9+AD13+AD14</f>
        <v>65.852351393090899</v>
      </c>
      <c r="AE15" s="80">
        <f t="shared" si="19"/>
        <v>417.13566776199559</v>
      </c>
      <c r="AF15" s="80">
        <f>+AF9+AF13+AF14</f>
        <v>102.17446400000014</v>
      </c>
      <c r="AG15" s="80">
        <f>+AG9+AG13+AG14</f>
        <v>216.67302899999993</v>
      </c>
      <c r="AH15" s="80">
        <f>+AH9+AH13+AH14</f>
        <v>69.43570399999993</v>
      </c>
      <c r="AI15" s="120"/>
      <c r="AJ15" s="120"/>
      <c r="AK15" s="120"/>
      <c r="AL15" s="118"/>
      <c r="AM15" s="52"/>
      <c r="AN15" s="52"/>
      <c r="AO15" s="52"/>
    </row>
    <row r="16" spans="1:42" s="34" customFormat="1" x14ac:dyDescent="0.25">
      <c r="A16" s="78" t="s">
        <v>33</v>
      </c>
      <c r="B16" s="77">
        <v>0</v>
      </c>
      <c r="C16" s="77">
        <v>0</v>
      </c>
      <c r="D16" s="77">
        <v>0</v>
      </c>
      <c r="E16" s="78">
        <v>0</v>
      </c>
      <c r="F16" s="78">
        <f t="shared" ref="F16:F21" si="20">+SUM(B16:E16)</f>
        <v>0</v>
      </c>
      <c r="G16" s="78">
        <v>0</v>
      </c>
      <c r="H16" s="78">
        <v>0</v>
      </c>
      <c r="I16" s="78">
        <v>0</v>
      </c>
      <c r="J16" s="78">
        <v>0</v>
      </c>
      <c r="K16" s="78">
        <f t="shared" si="0"/>
        <v>0</v>
      </c>
      <c r="L16" s="78">
        <v>0</v>
      </c>
      <c r="M16" s="78">
        <v>0</v>
      </c>
      <c r="N16" s="78">
        <v>0</v>
      </c>
      <c r="O16" s="78">
        <v>0</v>
      </c>
      <c r="P16" s="78">
        <f>+SUM(L16:O16)</f>
        <v>0</v>
      </c>
      <c r="Q16" s="78">
        <v>0</v>
      </c>
      <c r="R16" s="78">
        <v>0</v>
      </c>
      <c r="S16" s="78">
        <v>0</v>
      </c>
      <c r="T16" s="78">
        <v>0</v>
      </c>
      <c r="U16" s="78">
        <f t="shared" ref="U16:U22" si="21">+SUM(Q16:T16)</f>
        <v>0</v>
      </c>
      <c r="V16" s="78">
        <v>0</v>
      </c>
      <c r="W16" s="78">
        <v>0</v>
      </c>
      <c r="X16" s="78">
        <v>0</v>
      </c>
      <c r="Y16" s="78">
        <v>-1.171719</v>
      </c>
      <c r="Z16" s="78">
        <f t="shared" si="17"/>
        <v>-1.171719</v>
      </c>
      <c r="AA16" s="78">
        <v>-0.77107599999999998</v>
      </c>
      <c r="AB16" s="78">
        <v>-0.155859</v>
      </c>
      <c r="AC16" s="78">
        <v>6.8958810000000001</v>
      </c>
      <c r="AD16" s="78">
        <v>0.35854799999999998</v>
      </c>
      <c r="AE16" s="78">
        <f>AD16+AC16+AB16+AA16</f>
        <v>6.3274939999999997</v>
      </c>
      <c r="AF16" s="78">
        <v>-0.75048000000000004</v>
      </c>
      <c r="AG16" s="78">
        <v>0.44559199999999999</v>
      </c>
      <c r="AH16" s="78">
        <v>1.2019770000000001</v>
      </c>
      <c r="AI16" s="120"/>
      <c r="AJ16" s="120"/>
      <c r="AK16" s="119"/>
      <c r="AL16" s="120"/>
      <c r="AM16" s="66"/>
      <c r="AN16" s="52"/>
      <c r="AO16" s="52"/>
    </row>
    <row r="17" spans="1:41" s="46" customFormat="1" x14ac:dyDescent="0.25">
      <c r="A17" s="78" t="s">
        <v>34</v>
      </c>
      <c r="B17" s="77">
        <v>-16.319962</v>
      </c>
      <c r="C17" s="77">
        <v>-13.658407</v>
      </c>
      <c r="D17" s="77">
        <v>-13.817418</v>
      </c>
      <c r="E17" s="78">
        <v>-14.693171</v>
      </c>
      <c r="F17" s="78">
        <f t="shared" si="20"/>
        <v>-58.488958000000004</v>
      </c>
      <c r="G17" s="78">
        <v>-10.995291999999999</v>
      </c>
      <c r="H17" s="78">
        <v>-10.847804000000002</v>
      </c>
      <c r="I17" s="78">
        <v>-12.027969999999998</v>
      </c>
      <c r="J17" s="78">
        <v>-10.205487000000002</v>
      </c>
      <c r="K17" s="78">
        <f t="shared" si="0"/>
        <v>-44.076553000000004</v>
      </c>
      <c r="L17" s="78">
        <v>-14.259679</v>
      </c>
      <c r="M17" s="78">
        <v>-14.410536</v>
      </c>
      <c r="N17" s="78">
        <v>-15.790187000000001</v>
      </c>
      <c r="O17" s="78">
        <v>-15.349572999999996</v>
      </c>
      <c r="P17" s="78">
        <f t="shared" si="1"/>
        <v>-59.809974999999994</v>
      </c>
      <c r="Q17" s="78">
        <v>-15.398177</v>
      </c>
      <c r="R17" s="78">
        <v>-7.8450819999999979</v>
      </c>
      <c r="S17" s="78">
        <v>-8.6838030000000046</v>
      </c>
      <c r="T17" s="78">
        <v>-9.1976529999999883</v>
      </c>
      <c r="U17" s="78">
        <f t="shared" si="21"/>
        <v>-41.124714999999995</v>
      </c>
      <c r="V17" s="78">
        <v>-10.297195</v>
      </c>
      <c r="W17" s="78">
        <v>-9.5063340000000007</v>
      </c>
      <c r="X17" s="78">
        <v>-25.363766999999999</v>
      </c>
      <c r="Y17" s="78">
        <v>-37.899968999999999</v>
      </c>
      <c r="Z17" s="78">
        <f t="shared" si="17"/>
        <v>-83.067264999999992</v>
      </c>
      <c r="AA17" s="78">
        <v>-38.920754000000002</v>
      </c>
      <c r="AB17" s="78">
        <v>-44.300908</v>
      </c>
      <c r="AC17" s="78">
        <v>-52.850237</v>
      </c>
      <c r="AD17" s="78">
        <v>-57.851762000000001</v>
      </c>
      <c r="AE17" s="78">
        <f>AD17+AC17+AB17+AA17</f>
        <v>-193.92366099999998</v>
      </c>
      <c r="AF17" s="78">
        <v>-59.416271000000002</v>
      </c>
      <c r="AG17" s="78">
        <v>-68.168707999999995</v>
      </c>
      <c r="AH17" s="78">
        <v>-70.025880999999998</v>
      </c>
      <c r="AI17" s="120"/>
      <c r="AJ17" s="120"/>
      <c r="AK17" s="119"/>
      <c r="AL17" s="120"/>
      <c r="AM17" s="66"/>
      <c r="AN17" s="52"/>
      <c r="AO17" s="52"/>
    </row>
    <row r="18" spans="1:41" s="46" customFormat="1" x14ac:dyDescent="0.25">
      <c r="A18" s="78" t="s">
        <v>35</v>
      </c>
      <c r="B18" s="77">
        <v>0.16999700000000001</v>
      </c>
      <c r="C18" s="77">
        <v>-22.525078000000001</v>
      </c>
      <c r="D18" s="77">
        <v>-13.344023</v>
      </c>
      <c r="E18" s="78">
        <v>8.3571010000000001</v>
      </c>
      <c r="F18" s="78">
        <f t="shared" si="20"/>
        <v>-27.342003000000005</v>
      </c>
      <c r="G18" s="78">
        <v>5.1599999999999997E-3</v>
      </c>
      <c r="H18" s="78">
        <v>2.8909940000000001</v>
      </c>
      <c r="I18" s="78">
        <v>-2.5774569999999999</v>
      </c>
      <c r="J18" s="78">
        <v>-3.0459749999999999</v>
      </c>
      <c r="K18" s="78">
        <f t="shared" ref="K18" si="22">+SUM(G18:J18)</f>
        <v>-2.7272779999999996</v>
      </c>
      <c r="L18" s="78">
        <v>1.809682</v>
      </c>
      <c r="M18" s="78">
        <v>-2.9526189999999994</v>
      </c>
      <c r="N18" s="78">
        <v>4.3744909999999999</v>
      </c>
      <c r="O18" s="78">
        <v>-10.889986</v>
      </c>
      <c r="P18" s="78">
        <f t="shared" ref="P18" si="23">+SUM(L18:O18)</f>
        <v>-7.6584319999999995</v>
      </c>
      <c r="Q18" s="78">
        <v>-31.933463</v>
      </c>
      <c r="R18" s="78">
        <v>9.8372349999999997</v>
      </c>
      <c r="S18" s="78">
        <v>-10.512358000000001</v>
      </c>
      <c r="T18" s="78">
        <v>26.272963000000001</v>
      </c>
      <c r="U18" s="78">
        <f t="shared" ref="U18" si="24">+SUM(Q18:T18)</f>
        <v>-6.3356230000000018</v>
      </c>
      <c r="V18" s="78">
        <v>-5.86233</v>
      </c>
      <c r="W18" s="78">
        <v>-26.348846999999999</v>
      </c>
      <c r="X18" s="78">
        <v>-121.42849200000001</v>
      </c>
      <c r="Y18" s="78">
        <v>124.549391</v>
      </c>
      <c r="Z18" s="78">
        <f t="shared" ref="Z18" si="25">V18+W18+X18+Y18</f>
        <v>-29.090277999999998</v>
      </c>
      <c r="AA18" s="78">
        <v>71.440918999999994</v>
      </c>
      <c r="AB18" s="78">
        <v>-187.140277</v>
      </c>
      <c r="AC18" s="78">
        <v>-103.15372499999999</v>
      </c>
      <c r="AD18" s="78">
        <v>54.791127000000003</v>
      </c>
      <c r="AE18" s="78">
        <f>AD18+AC18+AB18+AA18</f>
        <v>-164.06195600000001</v>
      </c>
      <c r="AF18" s="78">
        <v>-152.354454</v>
      </c>
      <c r="AG18" s="78">
        <v>-57.407994000000002</v>
      </c>
      <c r="AH18" s="78">
        <v>-17.041070000000001</v>
      </c>
      <c r="AI18" s="120"/>
      <c r="AJ18" s="120"/>
      <c r="AK18" s="119"/>
      <c r="AL18" s="120"/>
      <c r="AM18" s="66"/>
      <c r="AN18" s="52"/>
      <c r="AO18" s="52"/>
    </row>
    <row r="19" spans="1:41" s="46" customFormat="1" x14ac:dyDescent="0.25">
      <c r="A19" s="50" t="s">
        <v>36</v>
      </c>
      <c r="B19" s="81">
        <f>+B16+B17+B18</f>
        <v>-16.149965000000002</v>
      </c>
      <c r="C19" s="81">
        <f t="shared" ref="C19:AF19" si="26">+C16+C17+C18</f>
        <v>-36.183485000000005</v>
      </c>
      <c r="D19" s="81">
        <f t="shared" si="26"/>
        <v>-27.161441</v>
      </c>
      <c r="E19" s="81">
        <f t="shared" si="26"/>
        <v>-6.3360699999999994</v>
      </c>
      <c r="F19" s="81">
        <f t="shared" si="26"/>
        <v>-85.830961000000002</v>
      </c>
      <c r="G19" s="81">
        <f t="shared" si="26"/>
        <v>-10.990131999999999</v>
      </c>
      <c r="H19" s="81">
        <f t="shared" si="26"/>
        <v>-7.9568100000000017</v>
      </c>
      <c r="I19" s="81">
        <f t="shared" si="26"/>
        <v>-14.605426999999999</v>
      </c>
      <c r="J19" s="81">
        <f t="shared" si="26"/>
        <v>-13.251462000000002</v>
      </c>
      <c r="K19" s="81">
        <f t="shared" si="26"/>
        <v>-46.803831000000002</v>
      </c>
      <c r="L19" s="81">
        <f t="shared" si="26"/>
        <v>-12.449997</v>
      </c>
      <c r="M19" s="81">
        <f t="shared" si="26"/>
        <v>-17.363154999999999</v>
      </c>
      <c r="N19" s="81">
        <f t="shared" si="26"/>
        <v>-11.415696000000001</v>
      </c>
      <c r="O19" s="81">
        <f t="shared" si="26"/>
        <v>-26.239558999999996</v>
      </c>
      <c r="P19" s="81">
        <f t="shared" si="26"/>
        <v>-67.468406999999999</v>
      </c>
      <c r="Q19" s="81">
        <f t="shared" si="26"/>
        <v>-47.33164</v>
      </c>
      <c r="R19" s="81">
        <f t="shared" si="26"/>
        <v>1.9921530000000018</v>
      </c>
      <c r="S19" s="81">
        <f t="shared" si="26"/>
        <v>-19.196161000000004</v>
      </c>
      <c r="T19" s="81">
        <f t="shared" si="26"/>
        <v>17.075310000000012</v>
      </c>
      <c r="U19" s="81">
        <f t="shared" si="26"/>
        <v>-47.460337999999993</v>
      </c>
      <c r="V19" s="81">
        <f t="shared" si="26"/>
        <v>-16.159525000000002</v>
      </c>
      <c r="W19" s="81">
        <f t="shared" si="26"/>
        <v>-35.855181000000002</v>
      </c>
      <c r="X19" s="81">
        <f t="shared" si="26"/>
        <v>-146.792259</v>
      </c>
      <c r="Y19" s="81">
        <f t="shared" si="26"/>
        <v>85.477702999999991</v>
      </c>
      <c r="Z19" s="81">
        <f t="shared" si="26"/>
        <v>-113.32926199999999</v>
      </c>
      <c r="AA19" s="81">
        <f t="shared" si="26"/>
        <v>31.749088999999991</v>
      </c>
      <c r="AB19" s="81">
        <f t="shared" si="26"/>
        <v>-231.59704399999998</v>
      </c>
      <c r="AC19" s="81">
        <f t="shared" si="26"/>
        <v>-149.108081</v>
      </c>
      <c r="AD19" s="81">
        <f t="shared" si="26"/>
        <v>-2.7020869999999988</v>
      </c>
      <c r="AE19" s="81">
        <f t="shared" si="26"/>
        <v>-351.65812299999999</v>
      </c>
      <c r="AF19" s="81">
        <f t="shared" si="26"/>
        <v>-212.52120500000001</v>
      </c>
      <c r="AG19" s="81">
        <f>+AG16+AG17+AG18</f>
        <v>-125.13110999999999</v>
      </c>
      <c r="AH19" s="81">
        <f>+AH16+AH17+AH18</f>
        <v>-85.864974000000004</v>
      </c>
      <c r="AI19" s="120"/>
      <c r="AJ19" s="120"/>
      <c r="AK19" s="120"/>
      <c r="AL19" s="118"/>
      <c r="AM19" s="52"/>
      <c r="AN19" s="52"/>
      <c r="AO19" s="52"/>
    </row>
    <row r="20" spans="1:41" s="46" customFormat="1" x14ac:dyDescent="0.25">
      <c r="A20" s="48" t="s">
        <v>37</v>
      </c>
      <c r="B20" s="79">
        <f t="shared" ref="B20:T20" si="27">+B15+B19</f>
        <v>-26.772965000000152</v>
      </c>
      <c r="C20" s="79">
        <f t="shared" si="27"/>
        <v>23.816515000000038</v>
      </c>
      <c r="D20" s="79">
        <f t="shared" si="27"/>
        <v>-63.390339000000111</v>
      </c>
      <c r="E20" s="80">
        <f t="shared" si="27"/>
        <v>12.6734280000003</v>
      </c>
      <c r="F20" s="80">
        <f t="shared" si="27"/>
        <v>-53.673360999999765</v>
      </c>
      <c r="G20" s="80">
        <f t="shared" si="27"/>
        <v>-18.190049111726267</v>
      </c>
      <c r="H20" s="80">
        <f t="shared" si="27"/>
        <v>64.74242082852976</v>
      </c>
      <c r="I20" s="80">
        <f t="shared" si="27"/>
        <v>-34.808223006679917</v>
      </c>
      <c r="J20" s="80">
        <f t="shared" si="27"/>
        <v>42.028733648369311</v>
      </c>
      <c r="K20" s="80">
        <f t="shared" si="27"/>
        <v>53.772882358493561</v>
      </c>
      <c r="L20" s="80">
        <f t="shared" si="27"/>
        <v>-9.5711699999995794</v>
      </c>
      <c r="M20" s="80">
        <f t="shared" si="27"/>
        <v>59.158069999999022</v>
      </c>
      <c r="N20" s="80">
        <f t="shared" si="27"/>
        <v>-8.1876489999991335</v>
      </c>
      <c r="O20" s="80">
        <f t="shared" si="27"/>
        <v>-31.810068999999654</v>
      </c>
      <c r="P20" s="80">
        <f t="shared" si="27"/>
        <v>9.5891820000008892</v>
      </c>
      <c r="Q20" s="80">
        <f t="shared" si="27"/>
        <v>-41.464110999999448</v>
      </c>
      <c r="R20" s="80">
        <f t="shared" si="27"/>
        <v>131.80854700000145</v>
      </c>
      <c r="S20" s="80">
        <f t="shared" si="27"/>
        <v>-22.728339000000233</v>
      </c>
      <c r="T20" s="80">
        <f t="shared" si="27"/>
        <v>126.03531000000042</v>
      </c>
      <c r="U20" s="80">
        <f t="shared" si="21"/>
        <v>193.65140700000219</v>
      </c>
      <c r="V20" s="80">
        <f t="shared" ref="V20:Y20" si="28">+V15+V19</f>
        <v>51.654566999999872</v>
      </c>
      <c r="W20" s="80">
        <f t="shared" si="28"/>
        <v>179.95071284871295</v>
      </c>
      <c r="X20" s="80">
        <f t="shared" si="28"/>
        <v>-139.34455882900104</v>
      </c>
      <c r="Y20" s="80">
        <f t="shared" si="28"/>
        <v>199.51549118577509</v>
      </c>
      <c r="Z20" s="80">
        <f t="shared" si="17"/>
        <v>291.7762122054869</v>
      </c>
      <c r="AA20" s="80">
        <f t="shared" ref="AA20:AD20" si="29">+AA15+AA19</f>
        <v>79.205282337926022</v>
      </c>
      <c r="AB20" s="80">
        <f t="shared" si="29"/>
        <v>37.012408315359096</v>
      </c>
      <c r="AC20" s="80">
        <f>+AC15+AC19</f>
        <v>-113.89041028438012</v>
      </c>
      <c r="AD20" s="80">
        <f t="shared" si="29"/>
        <v>63.1502643930909</v>
      </c>
      <c r="AE20" s="80">
        <f t="shared" ref="AE20:AF20" si="30">+AE15+AE19</f>
        <v>65.477544761995603</v>
      </c>
      <c r="AF20" s="80">
        <f t="shared" si="30"/>
        <v>-110.34674099999987</v>
      </c>
      <c r="AG20" s="80">
        <f t="shared" ref="AG20:AH20" si="31">+AG15+AG19</f>
        <v>91.541918999999936</v>
      </c>
      <c r="AH20" s="80">
        <f t="shared" si="31"/>
        <v>-16.429270000000074</v>
      </c>
      <c r="AI20" s="120"/>
      <c r="AJ20" s="120"/>
      <c r="AK20" s="120"/>
      <c r="AL20" s="118"/>
      <c r="AM20" s="52"/>
      <c r="AN20" s="52"/>
      <c r="AO20" s="52"/>
    </row>
    <row r="21" spans="1:41" s="46" customFormat="1" x14ac:dyDescent="0.25">
      <c r="A21" s="47" t="s">
        <v>38</v>
      </c>
      <c r="B21" s="77">
        <v>5.0979999999999999</v>
      </c>
      <c r="C21" s="77">
        <v>-6.4249999999999998</v>
      </c>
      <c r="D21" s="77">
        <v>11.150082000000001</v>
      </c>
      <c r="E21" s="78">
        <v>-6.8848980000000006</v>
      </c>
      <c r="F21" s="78">
        <f t="shared" si="20"/>
        <v>2.9381840000000006</v>
      </c>
      <c r="G21" s="78">
        <v>6.0018919999999998</v>
      </c>
      <c r="H21" s="78">
        <v>-15.557</v>
      </c>
      <c r="I21" s="78">
        <v>4.1214710000000006</v>
      </c>
      <c r="J21" s="78">
        <v>-37.338746</v>
      </c>
      <c r="K21" s="78">
        <f>+SUM(G21:J21)</f>
        <v>-42.772382999999998</v>
      </c>
      <c r="L21" s="78">
        <v>0.55800000000000005</v>
      </c>
      <c r="M21" s="78">
        <v>-13.275</v>
      </c>
      <c r="N21" s="78">
        <v>-9.8603609999999993</v>
      </c>
      <c r="O21" s="78">
        <f>(-6300)/1000</f>
        <v>-6.3</v>
      </c>
      <c r="P21" s="78">
        <f t="shared" si="1"/>
        <v>-28.877361000000001</v>
      </c>
      <c r="Q21" s="78">
        <v>-10.122999999999999</v>
      </c>
      <c r="R21" s="78">
        <v>-29.256</v>
      </c>
      <c r="S21" s="78">
        <v>3.9109150000000001</v>
      </c>
      <c r="T21" s="78">
        <f>-31.352</f>
        <v>-31.352</v>
      </c>
      <c r="U21" s="78">
        <f t="shared" si="21"/>
        <v>-66.820084999999992</v>
      </c>
      <c r="V21" s="78">
        <v>-18.783999999999999</v>
      </c>
      <c r="W21" s="78">
        <v>-18.387</v>
      </c>
      <c r="X21" s="78">
        <v>-9.7404696969105196</v>
      </c>
      <c r="Y21" s="78">
        <v>0.24859550383609599</v>
      </c>
      <c r="Z21" s="78">
        <f t="shared" si="17"/>
        <v>-46.662874193074423</v>
      </c>
      <c r="AA21" s="78">
        <v>-22.651</v>
      </c>
      <c r="AB21" s="78">
        <v>-13.407</v>
      </c>
      <c r="AC21" s="78">
        <v>33.493000000000002</v>
      </c>
      <c r="AD21" s="78">
        <v>-39.589605540541399</v>
      </c>
      <c r="AE21" s="78">
        <f>AD21+AC21+AB21+AA21</f>
        <v>-42.154605540541397</v>
      </c>
      <c r="AF21" s="78">
        <v>19.348468</v>
      </c>
      <c r="AG21" s="78">
        <v>-23.964129</v>
      </c>
      <c r="AH21" s="78">
        <v>3.2751549999999998</v>
      </c>
      <c r="AI21" s="120"/>
      <c r="AJ21" s="120"/>
      <c r="AK21" s="119"/>
      <c r="AL21" s="120"/>
      <c r="AM21" s="66"/>
      <c r="AN21" s="52"/>
      <c r="AO21" s="52"/>
    </row>
    <row r="22" spans="1:41" s="46" customFormat="1" x14ac:dyDescent="0.25">
      <c r="A22" s="48" t="s">
        <v>39</v>
      </c>
      <c r="B22" s="79">
        <f>+B20+B21</f>
        <v>-21.674965000000153</v>
      </c>
      <c r="C22" s="79">
        <f t="shared" ref="C22:L22" si="32">+C20+C21</f>
        <v>17.391515000000037</v>
      </c>
      <c r="D22" s="79">
        <f t="shared" si="32"/>
        <v>-52.240257000000113</v>
      </c>
      <c r="E22" s="80">
        <f t="shared" si="32"/>
        <v>5.788530000000299</v>
      </c>
      <c r="F22" s="80">
        <f t="shared" si="32"/>
        <v>-50.735176999999766</v>
      </c>
      <c r="G22" s="80">
        <f t="shared" si="32"/>
        <v>-12.188157111726268</v>
      </c>
      <c r="H22" s="80">
        <f t="shared" si="32"/>
        <v>49.185420828529757</v>
      </c>
      <c r="I22" s="80">
        <f t="shared" si="32"/>
        <v>-30.686752006679917</v>
      </c>
      <c r="J22" s="80">
        <f t="shared" si="32"/>
        <v>4.6899876483693106</v>
      </c>
      <c r="K22" s="80">
        <f t="shared" si="32"/>
        <v>11.000499358493563</v>
      </c>
      <c r="L22" s="80">
        <f t="shared" si="32"/>
        <v>-9.0131699999995796</v>
      </c>
      <c r="M22" s="80">
        <f t="shared" ref="M22:T22" si="33">+M20+M21</f>
        <v>45.883069999999023</v>
      </c>
      <c r="N22" s="80">
        <f t="shared" si="33"/>
        <v>-18.048009999999131</v>
      </c>
      <c r="O22" s="80">
        <f t="shared" si="33"/>
        <v>-38.110068999999655</v>
      </c>
      <c r="P22" s="80">
        <f t="shared" si="33"/>
        <v>-19.288178999999111</v>
      </c>
      <c r="Q22" s="80">
        <f t="shared" si="33"/>
        <v>-51.587110999999446</v>
      </c>
      <c r="R22" s="80">
        <f t="shared" si="33"/>
        <v>102.55254700000145</v>
      </c>
      <c r="S22" s="80">
        <f t="shared" si="33"/>
        <v>-18.817424000000234</v>
      </c>
      <c r="T22" s="80">
        <f t="shared" si="33"/>
        <v>94.683310000000418</v>
      </c>
      <c r="U22" s="80">
        <f t="shared" si="21"/>
        <v>126.83132200000219</v>
      </c>
      <c r="V22" s="80">
        <f t="shared" ref="V22:Y22" si="34">+V20+V21</f>
        <v>32.870566999999873</v>
      </c>
      <c r="W22" s="80">
        <f t="shared" si="34"/>
        <v>161.56371284871295</v>
      </c>
      <c r="X22" s="80">
        <f t="shared" si="34"/>
        <v>-149.08502852591155</v>
      </c>
      <c r="Y22" s="80">
        <f t="shared" si="34"/>
        <v>199.76408668961119</v>
      </c>
      <c r="Z22" s="80">
        <f>V22+W22+X22+Y22</f>
        <v>245.11333801241247</v>
      </c>
      <c r="AA22" s="80">
        <f t="shared" ref="AA22:AD22" si="35">+AA20+AA21</f>
        <v>56.554282337926026</v>
      </c>
      <c r="AB22" s="80">
        <f t="shared" si="35"/>
        <v>23.605408315359096</v>
      </c>
      <c r="AC22" s="80">
        <f>+AC20+AC21</f>
        <v>-80.397410284380129</v>
      </c>
      <c r="AD22" s="80">
        <f t="shared" si="35"/>
        <v>23.560658852549501</v>
      </c>
      <c r="AE22" s="80">
        <f t="shared" ref="AE22:AF22" si="36">+AE20+AE21</f>
        <v>23.322939221454206</v>
      </c>
      <c r="AF22" s="80">
        <f t="shared" si="36"/>
        <v>-90.99827299999987</v>
      </c>
      <c r="AG22" s="80">
        <f>+AG20+AG21</f>
        <v>67.577789999999936</v>
      </c>
      <c r="AH22" s="80">
        <f>+AH20+AH21</f>
        <v>-13.154115000000074</v>
      </c>
      <c r="AI22" s="120"/>
      <c r="AJ22" s="120"/>
      <c r="AK22" s="119"/>
      <c r="AL22" s="120"/>
      <c r="AM22" s="66"/>
      <c r="AN22" s="52"/>
      <c r="AO22" s="52"/>
    </row>
    <row r="23" spans="1:4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51"/>
      <c r="P23" s="37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37"/>
      <c r="AF23" s="37"/>
      <c r="AG23" s="37"/>
    </row>
    <row r="24" spans="1:41" ht="14.45" customHeight="1" x14ac:dyDescent="0.25">
      <c r="A24" s="61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4"/>
      <c r="M24" s="54"/>
      <c r="N24" s="42"/>
      <c r="O24" s="55"/>
      <c r="P24" s="56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68"/>
      <c r="AB24" s="68"/>
      <c r="AC24" s="68"/>
      <c r="AD24" s="68"/>
      <c r="AE24" s="74"/>
      <c r="AF24" s="74"/>
      <c r="AG24" s="74"/>
      <c r="AH24" s="64"/>
      <c r="AI24" s="120"/>
      <c r="AK24" s="119"/>
      <c r="AL24" s="120"/>
      <c r="AM24" s="66"/>
    </row>
    <row r="25" spans="1:41" x14ac:dyDescent="0.25">
      <c r="A25" s="37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42"/>
      <c r="N25" s="42"/>
      <c r="O25" s="42"/>
      <c r="P25" s="56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55"/>
      <c r="AB25" s="55"/>
      <c r="AC25" s="55"/>
      <c r="AD25" s="55"/>
      <c r="AE25" s="37"/>
      <c r="AF25" s="37"/>
      <c r="AG25" s="37"/>
    </row>
    <row r="26" spans="1:41" x14ac:dyDescent="0.25">
      <c r="A26" s="3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42"/>
      <c r="N26" s="42"/>
      <c r="O26" s="42"/>
      <c r="P26" s="58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37"/>
      <c r="AF26" s="37"/>
      <c r="AG26" s="37"/>
    </row>
    <row r="27" spans="1:4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37"/>
      <c r="AF27" s="37"/>
      <c r="AG27" s="37"/>
    </row>
    <row r="28" spans="1:41" x14ac:dyDescent="0.25">
      <c r="A28" s="37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0"/>
      <c r="M28" s="42"/>
      <c r="N28" s="42"/>
      <c r="O28" s="42"/>
      <c r="P28" s="60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37"/>
      <c r="AF28" s="37"/>
      <c r="AG28" s="37"/>
    </row>
    <row r="29" spans="1:41" x14ac:dyDescent="0.25">
      <c r="A29" s="37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0"/>
      <c r="M29" s="42"/>
      <c r="N29" s="42"/>
      <c r="O29" s="42"/>
      <c r="P29" s="60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37"/>
      <c r="AF29" s="37"/>
      <c r="AG29" s="37"/>
    </row>
    <row r="30" spans="1:41" x14ac:dyDescent="0.25">
      <c r="A30" s="37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60"/>
      <c r="M30" s="42"/>
      <c r="N30" s="62"/>
      <c r="O30" s="42"/>
      <c r="P30" s="60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37"/>
      <c r="AF30" s="37"/>
      <c r="AG30" s="37"/>
    </row>
    <row r="31" spans="1:41" x14ac:dyDescent="0.25">
      <c r="A31" s="37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60"/>
      <c r="M31" s="42"/>
      <c r="N31" s="63"/>
      <c r="O31" s="42"/>
      <c r="P31" s="60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37"/>
      <c r="AF31" s="37"/>
      <c r="AG31" s="37"/>
    </row>
    <row r="32" spans="1:41" x14ac:dyDescent="0.25">
      <c r="A32" s="37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42"/>
      <c r="N32" s="42"/>
      <c r="O32" s="42"/>
      <c r="P32" s="60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37"/>
      <c r="AF32" s="37"/>
      <c r="AG32" s="37"/>
    </row>
    <row r="33" spans="1:33" x14ac:dyDescent="0.25">
      <c r="A33" s="37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42"/>
      <c r="N33" s="42"/>
      <c r="O33" s="42"/>
      <c r="P33" s="60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37"/>
      <c r="AF33" s="37"/>
      <c r="AG33" s="37"/>
    </row>
    <row r="34" spans="1:33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37"/>
      <c r="AF34" s="37"/>
      <c r="AG34" s="37"/>
    </row>
    <row r="35" spans="1:33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37"/>
      <c r="AF35" s="37"/>
      <c r="AG35" s="37"/>
    </row>
    <row r="36" spans="1:33" x14ac:dyDescent="0.25">
      <c r="A36" s="37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60"/>
      <c r="M36" s="42"/>
      <c r="N36" s="42"/>
      <c r="O36" s="42"/>
      <c r="P36" s="60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37"/>
      <c r="AF36" s="37"/>
      <c r="AG36" s="37"/>
    </row>
    <row r="37" spans="1:33" x14ac:dyDescent="0.25">
      <c r="A37" s="37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37"/>
      <c r="N37" s="37"/>
      <c r="O37" s="37"/>
      <c r="P37" s="59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</row>
    <row r="38" spans="1:33" x14ac:dyDescent="0.25">
      <c r="A38" s="37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37"/>
      <c r="N38" s="37"/>
      <c r="O38" s="37"/>
      <c r="P38" s="59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</row>
    <row r="39" spans="1:33" x14ac:dyDescent="0.25">
      <c r="A39" s="37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37"/>
      <c r="N39" s="37"/>
      <c r="O39" s="37"/>
      <c r="P39" s="59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</row>
    <row r="40" spans="1:33" x14ac:dyDescent="0.25">
      <c r="A40" s="37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37"/>
      <c r="N40" s="37"/>
      <c r="O40" s="37"/>
      <c r="P40" s="59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</row>
    <row r="41" spans="1:33" x14ac:dyDescent="0.25">
      <c r="A41" s="37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37"/>
      <c r="N41" s="37"/>
      <c r="O41" s="37"/>
      <c r="P41" s="59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</row>
    <row r="42" spans="1:33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</row>
    <row r="43" spans="1:33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</row>
    <row r="60" spans="13:13" x14ac:dyDescent="0.25">
      <c r="M60" s="37"/>
    </row>
    <row r="61" spans="13:13" x14ac:dyDescent="0.25">
      <c r="M61" s="37"/>
    </row>
    <row r="62" spans="13:13" x14ac:dyDescent="0.25">
      <c r="M62" s="37"/>
    </row>
    <row r="63" spans="13:13" x14ac:dyDescent="0.25">
      <c r="M63" s="37"/>
    </row>
    <row r="64" spans="13:13" x14ac:dyDescent="0.25">
      <c r="M64" s="37"/>
    </row>
    <row r="65" spans="13:13" x14ac:dyDescent="0.25">
      <c r="M65" s="37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U4 P20:U22 P5:U15 P16:P17 U16:U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sheetPr codeName="Sheet2"/>
  <dimension ref="A1:AD63"/>
  <sheetViews>
    <sheetView workbookViewId="0">
      <pane xSplit="1" topLeftCell="B1" activePane="topRight" state="frozen"/>
      <selection activeCell="N34" sqref="N34"/>
      <selection pane="topRight" activeCell="R24" sqref="R24"/>
    </sheetView>
  </sheetViews>
  <sheetFormatPr defaultColWidth="9.28515625" defaultRowHeight="15" x14ac:dyDescent="0.25"/>
  <cols>
    <col min="1" max="1" width="43.28515625" style="34" bestFit="1" customWidth="1"/>
    <col min="2" max="15" width="7.42578125" style="34" customWidth="1"/>
    <col min="16" max="22" width="13.7109375" style="34" bestFit="1" customWidth="1"/>
    <col min="23" max="26" width="13" style="34" customWidth="1"/>
    <col min="27" max="27" width="14.7109375" style="34" customWidth="1"/>
    <col min="28" max="16384" width="9.28515625" style="34"/>
  </cols>
  <sheetData>
    <row r="1" spans="1:29" x14ac:dyDescent="0.25">
      <c r="A1" s="1" t="s">
        <v>40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16</v>
      </c>
      <c r="P1" s="8" t="s">
        <v>150</v>
      </c>
      <c r="Q1" s="8" t="s">
        <v>149</v>
      </c>
      <c r="R1" s="8" t="s">
        <v>148</v>
      </c>
      <c r="S1" s="8" t="s">
        <v>147</v>
      </c>
      <c r="T1" s="8" t="s">
        <v>146</v>
      </c>
      <c r="U1" s="8" t="s">
        <v>144</v>
      </c>
      <c r="V1" s="8" t="s">
        <v>145</v>
      </c>
      <c r="W1" s="8" t="s">
        <v>17</v>
      </c>
      <c r="X1" s="8" t="s">
        <v>18</v>
      </c>
      <c r="Y1" s="8" t="s">
        <v>151</v>
      </c>
      <c r="Z1" s="8" t="s">
        <v>154</v>
      </c>
      <c r="AA1" s="51"/>
    </row>
    <row r="2" spans="1:29" ht="13.15" customHeight="1" x14ac:dyDescent="0.25">
      <c r="A2" s="35" t="s">
        <v>41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9" x14ac:dyDescent="0.25">
      <c r="A3" s="44" t="s">
        <v>42</v>
      </c>
      <c r="B3" s="85">
        <v>68.949615000000009</v>
      </c>
      <c r="C3" s="85">
        <v>74.878626999999994</v>
      </c>
      <c r="D3" s="85">
        <v>76.753622000000007</v>
      </c>
      <c r="E3" s="85">
        <v>75.97796000000001</v>
      </c>
      <c r="F3" s="85">
        <v>77.555841999999998</v>
      </c>
      <c r="G3" s="85">
        <v>78.77949000000001</v>
      </c>
      <c r="H3" s="85">
        <v>79.628153000000012</v>
      </c>
      <c r="I3" s="85">
        <v>75.84456200000001</v>
      </c>
      <c r="J3" s="85">
        <v>86.551856999999998</v>
      </c>
      <c r="K3" s="85">
        <v>88.646000000000001</v>
      </c>
      <c r="L3" s="85">
        <v>87.611453999999995</v>
      </c>
      <c r="M3" s="85">
        <v>86.547932000000003</v>
      </c>
      <c r="N3" s="85">
        <v>88.755676000000008</v>
      </c>
      <c r="O3" s="85">
        <v>88.755676000000008</v>
      </c>
      <c r="P3" s="85">
        <v>86.935057</v>
      </c>
      <c r="Q3" s="85">
        <v>94.491600000000005</v>
      </c>
      <c r="R3" s="85">
        <v>92.680497000000003</v>
      </c>
      <c r="S3" s="85">
        <v>98.164987999999994</v>
      </c>
      <c r="T3" s="85">
        <v>91.555782000000008</v>
      </c>
      <c r="U3" s="85">
        <v>105.886003</v>
      </c>
      <c r="V3" s="85">
        <v>108.62834600000001</v>
      </c>
      <c r="W3" s="85">
        <v>119.967</v>
      </c>
      <c r="X3" s="85">
        <v>123.943015</v>
      </c>
      <c r="Y3" s="85">
        <v>126.29909499999999</v>
      </c>
      <c r="Z3" s="85">
        <v>139.35913199999999</v>
      </c>
      <c r="AC3" s="114"/>
    </row>
    <row r="4" spans="1:29" x14ac:dyDescent="0.25">
      <c r="A4" s="44" t="s">
        <v>43</v>
      </c>
      <c r="B4" s="85">
        <v>40.361221</v>
      </c>
      <c r="C4" s="85">
        <v>37.446109999999997</v>
      </c>
      <c r="D4" s="85">
        <v>35.924480000000003</v>
      </c>
      <c r="E4" s="85">
        <v>33.850652000000004</v>
      </c>
      <c r="F4" s="85">
        <v>33.601472000000001</v>
      </c>
      <c r="G4" s="85">
        <v>31.901443999999998</v>
      </c>
      <c r="H4" s="85">
        <v>29.294459</v>
      </c>
      <c r="I4" s="85">
        <v>28.802737</v>
      </c>
      <c r="J4" s="85">
        <v>26.796945999999998</v>
      </c>
      <c r="K4" s="85">
        <v>28.890999999999998</v>
      </c>
      <c r="L4" s="85">
        <v>24.273173</v>
      </c>
      <c r="M4" s="85">
        <v>21.995723999999999</v>
      </c>
      <c r="N4" s="85">
        <v>18.514800999999999</v>
      </c>
      <c r="O4" s="85">
        <v>18.514800999999999</v>
      </c>
      <c r="P4" s="85">
        <v>16.635435000000001</v>
      </c>
      <c r="Q4" s="85">
        <v>14.709376000000001</v>
      </c>
      <c r="R4" s="85">
        <v>12.861820999999999</v>
      </c>
      <c r="S4" s="85">
        <v>99.487054000000001</v>
      </c>
      <c r="T4" s="85">
        <v>96.904015000000001</v>
      </c>
      <c r="U4" s="85">
        <v>91.437601000000001</v>
      </c>
      <c r="V4" s="85">
        <v>85.670422000000002</v>
      </c>
      <c r="W4" s="85">
        <v>36.555999999999997</v>
      </c>
      <c r="X4" s="85">
        <v>30.513217000000001</v>
      </c>
      <c r="Y4" s="85">
        <v>25.368212</v>
      </c>
      <c r="Z4" s="85">
        <v>22.623045999999999</v>
      </c>
      <c r="AC4" s="114"/>
    </row>
    <row r="5" spans="1:29" x14ac:dyDescent="0.25">
      <c r="A5" s="44" t="s">
        <v>44</v>
      </c>
      <c r="B5" s="85">
        <v>83.324482999999987</v>
      </c>
      <c r="C5" s="85">
        <v>77.946388000000013</v>
      </c>
      <c r="D5" s="85">
        <v>73.293010999999993</v>
      </c>
      <c r="E5" s="85">
        <v>68.536704999999998</v>
      </c>
      <c r="F5" s="85">
        <v>66.108770000000007</v>
      </c>
      <c r="G5" s="85">
        <v>61.393828999999997</v>
      </c>
      <c r="H5" s="85">
        <v>78.441570999999996</v>
      </c>
      <c r="I5" s="85">
        <v>75.054422000000002</v>
      </c>
      <c r="J5" s="85">
        <v>69.809637000000009</v>
      </c>
      <c r="K5" s="85">
        <v>72.816000000000003</v>
      </c>
      <c r="L5" s="85">
        <v>68.114548999999997</v>
      </c>
      <c r="M5" s="85">
        <v>61.668949999999995</v>
      </c>
      <c r="N5" s="85">
        <v>60.379264000000006</v>
      </c>
      <c r="O5" s="85">
        <v>60.379264000000006</v>
      </c>
      <c r="P5" s="85">
        <v>52.865127999999999</v>
      </c>
      <c r="Q5" s="85">
        <v>175.78706</v>
      </c>
      <c r="R5" s="85">
        <v>164.117649</v>
      </c>
      <c r="S5" s="85">
        <v>598.83148300000005</v>
      </c>
      <c r="T5" s="85">
        <v>581.21680500000002</v>
      </c>
      <c r="U5" s="85">
        <v>598.20355799999993</v>
      </c>
      <c r="V5" s="85">
        <v>588.87314599999991</v>
      </c>
      <c r="W5" s="85">
        <v>541.322</v>
      </c>
      <c r="X5" s="85">
        <v>553.63903100000005</v>
      </c>
      <c r="Y5" s="85">
        <v>547.28894700000001</v>
      </c>
      <c r="Z5" s="85">
        <v>510.54023999999998</v>
      </c>
      <c r="AC5" s="114"/>
    </row>
    <row r="6" spans="1:29" x14ac:dyDescent="0.25">
      <c r="A6" s="44" t="s">
        <v>45</v>
      </c>
      <c r="B6" s="85">
        <v>1</v>
      </c>
      <c r="C6" s="85">
        <v>0.99999899999999997</v>
      </c>
      <c r="D6" s="85">
        <v>1</v>
      </c>
      <c r="E6" s="85">
        <v>0.99999899999999997</v>
      </c>
      <c r="F6" s="85">
        <v>1</v>
      </c>
      <c r="G6" s="85">
        <v>1.0000009999999999</v>
      </c>
      <c r="H6" s="85">
        <v>1.0000009999999999</v>
      </c>
      <c r="I6" s="85">
        <v>1.0000009999999999</v>
      </c>
      <c r="J6" s="85">
        <v>1.0000009999999999</v>
      </c>
      <c r="K6" s="85">
        <v>1</v>
      </c>
      <c r="L6" s="85">
        <v>2.3657880000000002</v>
      </c>
      <c r="M6" s="85">
        <v>2.3118560000000001</v>
      </c>
      <c r="N6" s="85">
        <v>2.2145509999999997</v>
      </c>
      <c r="O6" s="85">
        <v>2.2145509999999997</v>
      </c>
      <c r="P6" s="85">
        <v>2.1353330000000001</v>
      </c>
      <c r="Q6" s="85">
        <v>2.0577179999999999</v>
      </c>
      <c r="R6" s="85">
        <v>1.9706220000000001</v>
      </c>
      <c r="S6" s="85">
        <v>1.940547</v>
      </c>
      <c r="T6" s="85">
        <v>1.8818130000000002</v>
      </c>
      <c r="U6" s="85">
        <v>1.8606340000000001</v>
      </c>
      <c r="V6" s="85">
        <v>1.8083769999999999</v>
      </c>
      <c r="W6" s="85">
        <v>1.7090000000000001</v>
      </c>
      <c r="X6" s="85">
        <v>1.6687860000000001</v>
      </c>
      <c r="Y6" s="85">
        <v>1.611132</v>
      </c>
      <c r="Z6" s="85">
        <v>1.5182169999999999</v>
      </c>
      <c r="AC6" s="114"/>
    </row>
    <row r="7" spans="1:29" x14ac:dyDescent="0.25">
      <c r="A7" s="44" t="s">
        <v>46</v>
      </c>
      <c r="B7" s="85">
        <v>831.043993</v>
      </c>
      <c r="C7" s="85">
        <v>823.75651300000004</v>
      </c>
      <c r="D7" s="85">
        <v>827.74284999999998</v>
      </c>
      <c r="E7" s="85">
        <v>824.45066899999995</v>
      </c>
      <c r="F7" s="85">
        <v>840.300566</v>
      </c>
      <c r="G7" s="85">
        <v>840.13122900000008</v>
      </c>
      <c r="H7" s="85">
        <v>876.91964399999995</v>
      </c>
      <c r="I7" s="85">
        <v>889.27954099999999</v>
      </c>
      <c r="J7" s="85">
        <v>829.34079700000007</v>
      </c>
      <c r="K7" s="85">
        <v>874.69399999999996</v>
      </c>
      <c r="L7" s="85">
        <v>869.53288399999997</v>
      </c>
      <c r="M7" s="85">
        <v>869.97542199999998</v>
      </c>
      <c r="N7" s="85">
        <v>850.93291799999997</v>
      </c>
      <c r="O7" s="85">
        <v>850.93291799999997</v>
      </c>
      <c r="P7" s="85">
        <v>846.00407900000005</v>
      </c>
      <c r="Q7" s="85">
        <v>926.70081900000002</v>
      </c>
      <c r="R7" s="85">
        <v>926.57379900000001</v>
      </c>
      <c r="S7" s="85">
        <v>2998.2576129999998</v>
      </c>
      <c r="T7" s="85">
        <v>3004.3292280000001</v>
      </c>
      <c r="U7" s="85">
        <v>3151.6908130000002</v>
      </c>
      <c r="V7" s="85">
        <v>3224.2644049999999</v>
      </c>
      <c r="W7" s="85">
        <v>3146.6790000000001</v>
      </c>
      <c r="X7" s="85">
        <v>3278.7801469999999</v>
      </c>
      <c r="Y7" s="85">
        <v>3348.6545569999998</v>
      </c>
      <c r="Z7" s="85">
        <v>3254.6456619999999</v>
      </c>
      <c r="AC7" s="114"/>
    </row>
    <row r="8" spans="1:29" x14ac:dyDescent="0.25">
      <c r="A8" s="44" t="s">
        <v>47</v>
      </c>
      <c r="B8" s="85">
        <v>0</v>
      </c>
      <c r="C8" s="85">
        <v>0</v>
      </c>
      <c r="D8" s="85">
        <v>49.911468999999997</v>
      </c>
      <c r="E8" s="85">
        <v>54.511693000000001</v>
      </c>
      <c r="F8" s="85">
        <v>29.416554999999999</v>
      </c>
      <c r="G8" s="85">
        <v>30.628550999999998</v>
      </c>
      <c r="H8" s="85">
        <v>16.831</v>
      </c>
      <c r="I8" s="85">
        <v>16.115431000000001</v>
      </c>
      <c r="J8" s="85">
        <v>23.195414</v>
      </c>
      <c r="K8" s="85">
        <v>36.026519999999998</v>
      </c>
      <c r="L8" s="85">
        <v>29.623000000000001</v>
      </c>
      <c r="M8" s="85">
        <v>36.010455999999998</v>
      </c>
      <c r="N8" s="85">
        <v>35.457999999999998</v>
      </c>
      <c r="O8" s="85">
        <v>35.457999999999998</v>
      </c>
      <c r="P8" s="85">
        <v>37.566282000000001</v>
      </c>
      <c r="Q8" s="85">
        <v>39.260598000000002</v>
      </c>
      <c r="R8" s="85">
        <v>50.266641999999997</v>
      </c>
      <c r="S8" s="85">
        <v>81.201132999999999</v>
      </c>
      <c r="T8" s="85">
        <v>70.439383000000007</v>
      </c>
      <c r="U8" s="85">
        <v>76.665589000000011</v>
      </c>
      <c r="V8" s="85">
        <v>99.616067000000001</v>
      </c>
      <c r="W8" s="85">
        <v>144.79</v>
      </c>
      <c r="X8" s="85">
        <v>196.72822099999999</v>
      </c>
      <c r="Y8" s="85">
        <v>212.57953000000001</v>
      </c>
      <c r="Z8" s="85">
        <v>286.91721899999999</v>
      </c>
      <c r="AC8" s="114"/>
    </row>
    <row r="9" spans="1:29" x14ac:dyDescent="0.25">
      <c r="A9" s="36" t="s">
        <v>48</v>
      </c>
      <c r="B9" s="80">
        <f t="shared" ref="B9:I9" si="0">+SUM(B3:B8)</f>
        <v>1024.679312</v>
      </c>
      <c r="C9" s="80">
        <f t="shared" si="0"/>
        <v>1015.027637</v>
      </c>
      <c r="D9" s="80">
        <f t="shared" si="0"/>
        <v>1064.6254319999998</v>
      </c>
      <c r="E9" s="80">
        <f t="shared" si="0"/>
        <v>1058.3276779999999</v>
      </c>
      <c r="F9" s="80">
        <f t="shared" si="0"/>
        <v>1047.983205</v>
      </c>
      <c r="G9" s="80">
        <f t="shared" si="0"/>
        <v>1043.8345440000001</v>
      </c>
      <c r="H9" s="80">
        <f t="shared" si="0"/>
        <v>1082.114828</v>
      </c>
      <c r="I9" s="80">
        <f t="shared" si="0"/>
        <v>1086.0966940000001</v>
      </c>
      <c r="J9" s="80">
        <f t="shared" ref="J9:P9" si="1">+SUM(J3:J8)</f>
        <v>1036.6946520000001</v>
      </c>
      <c r="K9" s="80">
        <f t="shared" si="1"/>
        <v>1102.0735199999999</v>
      </c>
      <c r="L9" s="80">
        <f t="shared" si="1"/>
        <v>1081.5208480000001</v>
      </c>
      <c r="M9" s="80">
        <f t="shared" si="1"/>
        <v>1078.51034</v>
      </c>
      <c r="N9" s="80">
        <f>+SUM(N3:N8)</f>
        <v>1056.25521</v>
      </c>
      <c r="O9" s="80">
        <f>+SUM(O3:O8)</f>
        <v>1056.25521</v>
      </c>
      <c r="P9" s="80">
        <f t="shared" si="1"/>
        <v>1042.141314</v>
      </c>
      <c r="Q9" s="80">
        <f t="shared" ref="Q9" si="2">+SUM(Q3:Q8)</f>
        <v>1253.0071710000002</v>
      </c>
      <c r="R9" s="80">
        <f t="shared" ref="R9" si="3">+SUM(R3:R8)</f>
        <v>1248.4710300000002</v>
      </c>
      <c r="S9" s="80">
        <f t="shared" ref="S9" si="4">+SUM(S3:S8)</f>
        <v>3877.882818</v>
      </c>
      <c r="T9" s="80">
        <f t="shared" ref="T9" si="5">+SUM(T3:T8)</f>
        <v>3846.3270259999999</v>
      </c>
      <c r="U9" s="80">
        <f t="shared" ref="U9" si="6">+SUM(U3:U8)</f>
        <v>4025.7441980000003</v>
      </c>
      <c r="V9" s="80">
        <f t="shared" ref="V9" si="7">+SUM(V3:V8)</f>
        <v>4108.8607629999997</v>
      </c>
      <c r="W9" s="80">
        <f>+SUM(W3:W8)</f>
        <v>3991.0230000000001</v>
      </c>
      <c r="X9" s="80">
        <f>+SUM(X3:X8)</f>
        <v>4185.2724170000001</v>
      </c>
      <c r="Y9" s="80">
        <f>+SUM(Y3:Y8)</f>
        <v>4261.8014729999995</v>
      </c>
      <c r="Z9" s="80">
        <f>+SUM(Z3:Z8)</f>
        <v>4215.6035160000001</v>
      </c>
    </row>
    <row r="10" spans="1:29" x14ac:dyDescent="0.25">
      <c r="A10" s="44" t="s">
        <v>49</v>
      </c>
      <c r="B10" s="85">
        <v>20.203799</v>
      </c>
      <c r="C10" s="85">
        <v>20.863392000000001</v>
      </c>
      <c r="D10" s="85">
        <v>23.151955999999998</v>
      </c>
      <c r="E10" s="85">
        <v>24.487428999999999</v>
      </c>
      <c r="F10" s="85">
        <v>24.728707999999997</v>
      </c>
      <c r="G10" s="85">
        <v>28.622320999999999</v>
      </c>
      <c r="H10" s="85">
        <v>37.192999999999998</v>
      </c>
      <c r="I10" s="85">
        <v>33.169180999999995</v>
      </c>
      <c r="J10" s="85">
        <v>35.414875000000002</v>
      </c>
      <c r="K10" s="85">
        <v>40.499000000000002</v>
      </c>
      <c r="L10" s="85">
        <v>39.057048000000002</v>
      </c>
      <c r="M10" s="85">
        <v>39.811371000000001</v>
      </c>
      <c r="N10" s="85">
        <v>38.624341000000001</v>
      </c>
      <c r="O10" s="85">
        <v>38.624341000000001</v>
      </c>
      <c r="P10" s="85">
        <v>36.185817999999998</v>
      </c>
      <c r="Q10" s="85">
        <v>43.087201999999998</v>
      </c>
      <c r="R10" s="85">
        <v>43.136673000000002</v>
      </c>
      <c r="S10" s="85">
        <v>59.753237999999996</v>
      </c>
      <c r="T10" s="85">
        <v>61.906123000000001</v>
      </c>
      <c r="U10" s="85">
        <v>72.496694000000005</v>
      </c>
      <c r="V10" s="85">
        <v>80.919698000000011</v>
      </c>
      <c r="W10" s="85">
        <v>90.290999999999997</v>
      </c>
      <c r="X10" s="85">
        <v>99.414227999999994</v>
      </c>
      <c r="Y10" s="85">
        <v>103.00393200000001</v>
      </c>
      <c r="Z10" s="85">
        <v>98.472316000000006</v>
      </c>
      <c r="AC10" s="114"/>
    </row>
    <row r="11" spans="1:29" x14ac:dyDescent="0.25">
      <c r="A11" s="44" t="s">
        <v>50</v>
      </c>
      <c r="B11" s="85">
        <v>0</v>
      </c>
      <c r="C11" s="85">
        <v>0</v>
      </c>
      <c r="D11" s="85">
        <v>0</v>
      </c>
      <c r="E11" s="85">
        <v>0</v>
      </c>
      <c r="F11" s="85">
        <v>0</v>
      </c>
      <c r="G11" s="85">
        <v>102.745852</v>
      </c>
      <c r="H11" s="85">
        <v>112.742</v>
      </c>
      <c r="I11" s="85">
        <v>120.460441</v>
      </c>
      <c r="J11" s="85">
        <v>118.291377</v>
      </c>
      <c r="K11" s="85">
        <v>127.593</v>
      </c>
      <c r="L11" s="85">
        <v>120.375455</v>
      </c>
      <c r="M11" s="85">
        <v>133.90402399999999</v>
      </c>
      <c r="N11" s="85">
        <v>120.051164</v>
      </c>
      <c r="O11" s="85">
        <v>120.051164</v>
      </c>
      <c r="P11" s="85">
        <v>107.46863400000001</v>
      </c>
      <c r="Q11" s="85">
        <v>128.591047</v>
      </c>
      <c r="R11" s="85">
        <v>118.81214999999999</v>
      </c>
      <c r="S11" s="85">
        <v>114.957615</v>
      </c>
      <c r="T11" s="85">
        <v>105.794506</v>
      </c>
      <c r="U11" s="85">
        <v>151.48040700000001</v>
      </c>
      <c r="V11" s="85">
        <v>390.50285300000002</v>
      </c>
      <c r="W11" s="85">
        <v>451.49900000000002</v>
      </c>
      <c r="X11" s="85">
        <v>452.44090599999998</v>
      </c>
      <c r="Y11" s="85">
        <v>447.87812300000002</v>
      </c>
      <c r="Z11" s="85">
        <v>488.05679300000003</v>
      </c>
      <c r="AC11" s="114"/>
    </row>
    <row r="12" spans="1:29" x14ac:dyDescent="0.25">
      <c r="A12" s="36" t="s">
        <v>51</v>
      </c>
      <c r="B12" s="80">
        <f t="shared" ref="B12:P12" si="8">+SUM(B10:B11)</f>
        <v>20.203799</v>
      </c>
      <c r="C12" s="80">
        <f t="shared" si="8"/>
        <v>20.863392000000001</v>
      </c>
      <c r="D12" s="80">
        <f t="shared" si="8"/>
        <v>23.151955999999998</v>
      </c>
      <c r="E12" s="80">
        <f t="shared" si="8"/>
        <v>24.487428999999999</v>
      </c>
      <c r="F12" s="80">
        <f t="shared" si="8"/>
        <v>24.728707999999997</v>
      </c>
      <c r="G12" s="80">
        <f t="shared" si="8"/>
        <v>131.36817300000001</v>
      </c>
      <c r="H12" s="80">
        <f t="shared" si="8"/>
        <v>149.935</v>
      </c>
      <c r="I12" s="80">
        <f t="shared" si="8"/>
        <v>153.62962199999998</v>
      </c>
      <c r="J12" s="80">
        <f t="shared" si="8"/>
        <v>153.70625200000001</v>
      </c>
      <c r="K12" s="80">
        <f t="shared" si="8"/>
        <v>168.09200000000001</v>
      </c>
      <c r="L12" s="80">
        <f t="shared" si="8"/>
        <v>159.432503</v>
      </c>
      <c r="M12" s="80">
        <f t="shared" si="8"/>
        <v>173.715395</v>
      </c>
      <c r="N12" s="80">
        <f t="shared" si="8"/>
        <v>158.67550499999999</v>
      </c>
      <c r="O12" s="80">
        <f t="shared" ref="O12" si="9">+SUM(O10:O11)</f>
        <v>158.67550499999999</v>
      </c>
      <c r="P12" s="80">
        <f t="shared" si="8"/>
        <v>143.65445199999999</v>
      </c>
      <c r="Q12" s="80">
        <f t="shared" ref="Q12" si="10">+SUM(Q10:Q11)</f>
        <v>171.67824899999999</v>
      </c>
      <c r="R12" s="80">
        <f t="shared" ref="R12" si="11">+SUM(R10:R11)</f>
        <v>161.948823</v>
      </c>
      <c r="S12" s="80">
        <f t="shared" ref="S12" si="12">+SUM(S10:S11)</f>
        <v>174.71085299999999</v>
      </c>
      <c r="T12" s="80">
        <f t="shared" ref="T12" si="13">+SUM(T10:T11)</f>
        <v>167.70062899999999</v>
      </c>
      <c r="U12" s="80">
        <f t="shared" ref="U12" si="14">+SUM(U10:U11)</f>
        <v>223.977101</v>
      </c>
      <c r="V12" s="80">
        <f t="shared" ref="V12" si="15">+SUM(V10:V11)</f>
        <v>471.422551</v>
      </c>
      <c r="W12" s="80">
        <f t="shared" ref="W12:X12" si="16">+SUM(W10:W11)</f>
        <v>541.79</v>
      </c>
      <c r="X12" s="80">
        <f t="shared" si="16"/>
        <v>551.85513400000002</v>
      </c>
      <c r="Y12" s="80">
        <f t="shared" ref="Y12:Z12" si="17">+SUM(Y10:Y11)</f>
        <v>550.88205500000004</v>
      </c>
      <c r="Z12" s="80">
        <f t="shared" si="17"/>
        <v>586.52910900000006</v>
      </c>
    </row>
    <row r="13" spans="1:29" x14ac:dyDescent="0.25">
      <c r="A13" s="44" t="s">
        <v>52</v>
      </c>
      <c r="B13" s="85"/>
      <c r="C13" s="85"/>
      <c r="D13" s="85"/>
      <c r="E13" s="85"/>
      <c r="F13" s="85"/>
      <c r="G13" s="85"/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85">
        <v>0</v>
      </c>
      <c r="R13" s="85">
        <v>36.015000000000001</v>
      </c>
      <c r="S13" s="85">
        <v>36.570794999999997</v>
      </c>
      <c r="T13" s="85">
        <v>35.799718999999996</v>
      </c>
      <c r="U13" s="85">
        <v>35.879052999999999</v>
      </c>
      <c r="V13" s="85">
        <v>42.774934000000002</v>
      </c>
      <c r="W13" s="85">
        <v>43.133000000000003</v>
      </c>
      <c r="X13" s="85">
        <v>42.383001999999998</v>
      </c>
      <c r="Y13" s="85">
        <v>42.256180000000001</v>
      </c>
      <c r="Z13" s="85">
        <v>42.508994999999999</v>
      </c>
      <c r="AC13" s="114"/>
    </row>
    <row r="14" spans="1:29" x14ac:dyDescent="0.25">
      <c r="A14" s="44" t="s">
        <v>53</v>
      </c>
      <c r="B14" s="85">
        <v>4.7713590000000003</v>
      </c>
      <c r="C14" s="85">
        <v>7.0315919999999998</v>
      </c>
      <c r="D14" s="85">
        <v>10.963983000000001</v>
      </c>
      <c r="E14" s="85">
        <v>8.8129500000000007</v>
      </c>
      <c r="F14" s="85">
        <v>22.658455999999997</v>
      </c>
      <c r="G14" s="85">
        <v>17.147622999999999</v>
      </c>
      <c r="H14" s="85">
        <v>18.388999999999999</v>
      </c>
      <c r="I14" s="85">
        <v>21.754279</v>
      </c>
      <c r="J14" s="85">
        <v>25.617405999999999</v>
      </c>
      <c r="K14" s="85">
        <v>20.303000000000001</v>
      </c>
      <c r="L14" s="85">
        <v>21.692789000000001</v>
      </c>
      <c r="M14" s="85">
        <v>22.438931</v>
      </c>
      <c r="N14" s="85">
        <v>39.962097999999997</v>
      </c>
      <c r="O14" s="85">
        <v>39.962097999999997</v>
      </c>
      <c r="P14" s="85">
        <v>36.434885000000001</v>
      </c>
      <c r="Q14" s="85">
        <v>61.158999999999999</v>
      </c>
      <c r="R14" s="85">
        <v>70.109536000000006</v>
      </c>
      <c r="S14" s="85">
        <v>68.574303999999998</v>
      </c>
      <c r="T14" s="85">
        <v>36.954192999999997</v>
      </c>
      <c r="U14" s="85">
        <v>42.175642999999994</v>
      </c>
      <c r="V14" s="85">
        <v>42.488877000000002</v>
      </c>
      <c r="W14" s="85">
        <v>70.504000000000005</v>
      </c>
      <c r="X14" s="85">
        <v>61.372014999999998</v>
      </c>
      <c r="Y14" s="85">
        <v>70.456356999999997</v>
      </c>
      <c r="Z14" s="85">
        <v>72.758218999999997</v>
      </c>
      <c r="AC14" s="114"/>
    </row>
    <row r="15" spans="1:29" x14ac:dyDescent="0.25">
      <c r="A15" s="36" t="s">
        <v>54</v>
      </c>
      <c r="B15" s="80">
        <f t="shared" ref="B15:N15" si="18">SUM(B13:B14)</f>
        <v>4.7713590000000003</v>
      </c>
      <c r="C15" s="80">
        <f t="shared" si="18"/>
        <v>7.0315919999999998</v>
      </c>
      <c r="D15" s="80">
        <f t="shared" si="18"/>
        <v>10.963983000000001</v>
      </c>
      <c r="E15" s="80">
        <f t="shared" si="18"/>
        <v>8.8129500000000007</v>
      </c>
      <c r="F15" s="80">
        <f t="shared" si="18"/>
        <v>22.658455999999997</v>
      </c>
      <c r="G15" s="80">
        <f t="shared" si="18"/>
        <v>17.147622999999999</v>
      </c>
      <c r="H15" s="80">
        <f t="shared" si="18"/>
        <v>18.388999999999999</v>
      </c>
      <c r="I15" s="80">
        <f t="shared" si="18"/>
        <v>21.754279</v>
      </c>
      <c r="J15" s="80">
        <f t="shared" si="18"/>
        <v>25.617405999999999</v>
      </c>
      <c r="K15" s="80">
        <f t="shared" si="18"/>
        <v>20.303000000000001</v>
      </c>
      <c r="L15" s="80">
        <f t="shared" si="18"/>
        <v>21.692789000000001</v>
      </c>
      <c r="M15" s="80">
        <f t="shared" si="18"/>
        <v>22.438931</v>
      </c>
      <c r="N15" s="80">
        <f t="shared" si="18"/>
        <v>39.962097999999997</v>
      </c>
      <c r="O15" s="80">
        <f t="shared" ref="O15" si="19">SUM(O13:O14)</f>
        <v>39.962097999999997</v>
      </c>
      <c r="P15" s="80">
        <f t="shared" ref="P15" si="20">SUM(P13:P14)</f>
        <v>36.434885000000001</v>
      </c>
      <c r="Q15" s="80">
        <f t="shared" ref="Q15" si="21">SUM(Q13:Q14)</f>
        <v>61.158999999999999</v>
      </c>
      <c r="R15" s="80">
        <f t="shared" ref="R15" si="22">SUM(R13:R14)</f>
        <v>106.12453600000001</v>
      </c>
      <c r="S15" s="80">
        <f t="shared" ref="S15" si="23">SUM(S13:S14)</f>
        <v>105.14509899999999</v>
      </c>
      <c r="T15" s="80">
        <f t="shared" ref="T15" si="24">SUM(T13:T14)</f>
        <v>72.753911999999985</v>
      </c>
      <c r="U15" s="80">
        <f t="shared" ref="U15" si="25">SUM(U13:U14)</f>
        <v>78.054695999999993</v>
      </c>
      <c r="V15" s="80">
        <f>SUM(V13:V14)</f>
        <v>85.263811000000004</v>
      </c>
      <c r="W15" s="80">
        <f>SUM(W13:W14)</f>
        <v>113.637</v>
      </c>
      <c r="X15" s="80">
        <f>SUM(X13:X14)</f>
        <v>103.755017</v>
      </c>
      <c r="Y15" s="80">
        <f>SUM(Y13:Y14)</f>
        <v>112.712537</v>
      </c>
      <c r="Z15" s="80">
        <f>SUM(Z13:Z14)</f>
        <v>115.267214</v>
      </c>
    </row>
    <row r="16" spans="1:29" x14ac:dyDescent="0.25">
      <c r="A16" s="36" t="s">
        <v>55</v>
      </c>
      <c r="B16" s="80">
        <f t="shared" ref="B16:N16" si="26">B15+B12+B9</f>
        <v>1049.6544699999999</v>
      </c>
      <c r="C16" s="80">
        <f t="shared" si="26"/>
        <v>1042.9226209999999</v>
      </c>
      <c r="D16" s="80">
        <f t="shared" si="26"/>
        <v>1098.7413709999998</v>
      </c>
      <c r="E16" s="80">
        <f t="shared" si="26"/>
        <v>1091.6280569999999</v>
      </c>
      <c r="F16" s="80">
        <f t="shared" si="26"/>
        <v>1095.370369</v>
      </c>
      <c r="G16" s="80">
        <f t="shared" si="26"/>
        <v>1192.35034</v>
      </c>
      <c r="H16" s="80">
        <f t="shared" si="26"/>
        <v>1250.4388280000001</v>
      </c>
      <c r="I16" s="80">
        <f t="shared" si="26"/>
        <v>1261.480595</v>
      </c>
      <c r="J16" s="80">
        <f t="shared" si="26"/>
        <v>1216.0183100000002</v>
      </c>
      <c r="K16" s="80">
        <f t="shared" si="26"/>
        <v>1290.4685199999999</v>
      </c>
      <c r="L16" s="80">
        <f t="shared" si="26"/>
        <v>1262.6461400000001</v>
      </c>
      <c r="M16" s="80">
        <f t="shared" si="26"/>
        <v>1274.6646660000001</v>
      </c>
      <c r="N16" s="80">
        <f t="shared" si="26"/>
        <v>1254.8928129999999</v>
      </c>
      <c r="O16" s="80">
        <f t="shared" ref="O16" si="27">O15+O12+O9</f>
        <v>1254.8928129999999</v>
      </c>
      <c r="P16" s="80">
        <f t="shared" ref="P16" si="28">P15+P12+P9</f>
        <v>1222.2306509999999</v>
      </c>
      <c r="Q16" s="80">
        <f t="shared" ref="Q16" si="29">Q15+Q12+Q9</f>
        <v>1485.8444200000001</v>
      </c>
      <c r="R16" s="80">
        <f t="shared" ref="R16" si="30">R15+R12+R9</f>
        <v>1516.5443890000001</v>
      </c>
      <c r="S16" s="80">
        <f t="shared" ref="S16" si="31">S15+S12+S9</f>
        <v>4157.7387699999999</v>
      </c>
      <c r="T16" s="80">
        <f t="shared" ref="T16" si="32">T15+T12+T9</f>
        <v>4086.781567</v>
      </c>
      <c r="U16" s="80">
        <f t="shared" ref="U16" si="33">U15+U12+U9</f>
        <v>4327.775995</v>
      </c>
      <c r="V16" s="80">
        <f>V15+V12+V9</f>
        <v>4665.5471250000001</v>
      </c>
      <c r="W16" s="80">
        <f>W15+W12+W9</f>
        <v>4646.45</v>
      </c>
      <c r="X16" s="80">
        <f>X15+X12+X9</f>
        <v>4840.882568</v>
      </c>
      <c r="Y16" s="80">
        <f>Y15+Y12+Y9</f>
        <v>4925.3960649999999</v>
      </c>
      <c r="Z16" s="80">
        <f>Z15+Z12+Z9</f>
        <v>4917.3998389999997</v>
      </c>
    </row>
    <row r="17" spans="1:29" x14ac:dyDescent="0.25">
      <c r="A17" s="44" t="s">
        <v>56</v>
      </c>
      <c r="B17" s="85">
        <v>26.287227999999999</v>
      </c>
      <c r="C17" s="85">
        <v>23.594625000000001</v>
      </c>
      <c r="D17" s="85">
        <v>22.589007000000002</v>
      </c>
      <c r="E17" s="85">
        <v>23.071021999999999</v>
      </c>
      <c r="F17" s="85">
        <v>8.624664000000001</v>
      </c>
      <c r="G17" s="85">
        <v>15.417370999999999</v>
      </c>
      <c r="H17" s="85">
        <v>9.132147999999999</v>
      </c>
      <c r="I17" s="85">
        <v>18.773490000000002</v>
      </c>
      <c r="J17" s="85">
        <v>13.968069</v>
      </c>
      <c r="K17" s="85">
        <v>18.911000000000001</v>
      </c>
      <c r="L17" s="85">
        <v>19.016161</v>
      </c>
      <c r="M17" s="85">
        <v>13.390212999999999</v>
      </c>
      <c r="N17" s="85">
        <v>8.8458449999999988</v>
      </c>
      <c r="O17" s="85">
        <v>8.8458449999999988</v>
      </c>
      <c r="P17" s="85">
        <v>4.5415959999999993</v>
      </c>
      <c r="Q17" s="85">
        <v>9.5910449999999994</v>
      </c>
      <c r="R17" s="85">
        <v>5.4850560000000002</v>
      </c>
      <c r="S17" s="85">
        <v>2.8692959999999998</v>
      </c>
      <c r="T17" s="85">
        <v>2.4775010000000002</v>
      </c>
      <c r="U17" s="85">
        <v>3.5889709999999999</v>
      </c>
      <c r="V17" s="85">
        <v>4.1099550000000002</v>
      </c>
      <c r="W17" s="85">
        <v>17.327999999999999</v>
      </c>
      <c r="X17" s="85">
        <v>19.443560999999999</v>
      </c>
      <c r="Y17" s="85">
        <v>19.226132</v>
      </c>
      <c r="Z17" s="85">
        <v>20.85032</v>
      </c>
      <c r="AC17" s="114"/>
    </row>
    <row r="18" spans="1:29" x14ac:dyDescent="0.25">
      <c r="A18" s="44" t="s">
        <v>57</v>
      </c>
      <c r="B18" s="85">
        <v>1541.436246</v>
      </c>
      <c r="C18" s="85">
        <v>1131.42687</v>
      </c>
      <c r="D18" s="85">
        <v>2170.5133990000004</v>
      </c>
      <c r="E18" s="85">
        <v>1083.884847</v>
      </c>
      <c r="F18" s="85">
        <v>1875.962673</v>
      </c>
      <c r="G18" s="85">
        <v>1673.924675</v>
      </c>
      <c r="H18" s="85">
        <v>2872.270649</v>
      </c>
      <c r="I18" s="85">
        <v>1682.469587</v>
      </c>
      <c r="J18" s="85">
        <v>2553.5057980000001</v>
      </c>
      <c r="K18" s="85">
        <v>2397.6880000000001</v>
      </c>
      <c r="L18" s="85">
        <v>4030.6503829999997</v>
      </c>
      <c r="M18" s="85">
        <v>2528.6142209999998</v>
      </c>
      <c r="N18" s="85">
        <v>3393.4209999999998</v>
      </c>
      <c r="O18" s="85">
        <v>3393.4209999999998</v>
      </c>
      <c r="P18" s="85">
        <v>3170.2085480000001</v>
      </c>
      <c r="Q18" s="85">
        <v>5218.1753680000002</v>
      </c>
      <c r="R18" s="85">
        <v>3267.4354980000003</v>
      </c>
      <c r="S18" s="85">
        <v>4492.9689539999999</v>
      </c>
      <c r="T18" s="85">
        <v>4865.5033329999997</v>
      </c>
      <c r="U18" s="85">
        <v>7964.5329979999997</v>
      </c>
      <c r="V18" s="85">
        <v>5406.5728930000005</v>
      </c>
      <c r="W18" s="85">
        <v>6562.97</v>
      </c>
      <c r="X18" s="85">
        <v>6617.0830120000001</v>
      </c>
      <c r="Y18" s="85">
        <v>9314.1663410000001</v>
      </c>
      <c r="Z18" s="85">
        <v>6351.832394</v>
      </c>
      <c r="AC18" s="114"/>
    </row>
    <row r="19" spans="1:29" x14ac:dyDescent="0.25">
      <c r="A19" s="44" t="s">
        <v>58</v>
      </c>
      <c r="B19" s="85">
        <v>60.048646999999995</v>
      </c>
      <c r="C19" s="85">
        <v>48.554413999999994</v>
      </c>
      <c r="D19" s="85">
        <v>51.578263</v>
      </c>
      <c r="E19" s="85">
        <v>58.546847</v>
      </c>
      <c r="F19" s="85">
        <v>75.997933000000003</v>
      </c>
      <c r="G19" s="85">
        <v>75.425284000000005</v>
      </c>
      <c r="H19" s="85">
        <v>94.189961999999994</v>
      </c>
      <c r="I19" s="85">
        <v>94.470584000000002</v>
      </c>
      <c r="J19" s="85">
        <v>156.326696</v>
      </c>
      <c r="K19" s="85">
        <v>158.124</v>
      </c>
      <c r="L19" s="85">
        <v>160.87116800000001</v>
      </c>
      <c r="M19" s="85">
        <v>188.159548</v>
      </c>
      <c r="N19" s="85">
        <v>263.34699999999998</v>
      </c>
      <c r="O19" s="85">
        <f>+N19+212.184796</f>
        <v>475.53179599999999</v>
      </c>
      <c r="P19" s="85">
        <v>519.19799999999998</v>
      </c>
      <c r="Q19" s="85">
        <v>844.71400000000006</v>
      </c>
      <c r="R19" s="85">
        <v>802.31500000000005</v>
      </c>
      <c r="S19" s="85">
        <v>1635.92</v>
      </c>
      <c r="T19" s="85">
        <v>1760.42</v>
      </c>
      <c r="U19" s="85">
        <v>2475.1039999999998</v>
      </c>
      <c r="V19" s="85">
        <v>2081.4490000000001</v>
      </c>
      <c r="W19" s="85">
        <v>2076.8670000000002</v>
      </c>
      <c r="X19" s="85">
        <v>2558.9797699999999</v>
      </c>
      <c r="Y19" s="85">
        <v>2929.900971</v>
      </c>
      <c r="Z19" s="85">
        <v>2186.7798029999999</v>
      </c>
      <c r="AC19" s="114"/>
    </row>
    <row r="20" spans="1:29" x14ac:dyDescent="0.25">
      <c r="A20" s="44" t="s">
        <v>59</v>
      </c>
      <c r="B20" s="85" t="s">
        <v>60</v>
      </c>
      <c r="C20" s="85" t="s">
        <v>60</v>
      </c>
      <c r="D20" s="85" t="s">
        <v>60</v>
      </c>
      <c r="E20" s="85" t="s">
        <v>60</v>
      </c>
      <c r="F20" s="85" t="s">
        <v>60</v>
      </c>
      <c r="G20" s="85" t="s">
        <v>60</v>
      </c>
      <c r="H20" s="85" t="s">
        <v>60</v>
      </c>
      <c r="I20" s="85" t="s">
        <v>60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>
        <v>1782</v>
      </c>
      <c r="S20" s="85">
        <v>0</v>
      </c>
      <c r="T20" s="85">
        <v>0</v>
      </c>
      <c r="U20" s="85">
        <v>0</v>
      </c>
      <c r="V20" s="85">
        <v>0</v>
      </c>
      <c r="W20" s="85">
        <v>0</v>
      </c>
      <c r="X20" s="85">
        <v>0</v>
      </c>
      <c r="Y20" s="85">
        <v>0</v>
      </c>
      <c r="Z20" s="85"/>
    </row>
    <row r="21" spans="1:29" x14ac:dyDescent="0.25">
      <c r="A21" s="44" t="s">
        <v>61</v>
      </c>
      <c r="B21" s="85">
        <v>368.44242100000008</v>
      </c>
      <c r="C21" s="85">
        <v>76.440506999999982</v>
      </c>
      <c r="D21" s="85">
        <v>165.51189100000005</v>
      </c>
      <c r="E21" s="85">
        <v>33.8553899999999</v>
      </c>
      <c r="F21" s="85">
        <v>379.28178800000018</v>
      </c>
      <c r="G21" s="85">
        <v>84.034273000000042</v>
      </c>
      <c r="H21" s="85">
        <v>707.76451300000031</v>
      </c>
      <c r="I21" s="85">
        <v>40.118990999999923</v>
      </c>
      <c r="J21" s="85">
        <v>238.81663599999993</v>
      </c>
      <c r="K21" s="85">
        <v>330.43299999999999</v>
      </c>
      <c r="L21" s="85">
        <v>1689.3607920000004</v>
      </c>
      <c r="M21" s="85">
        <v>412.79393799999986</v>
      </c>
      <c r="N21" s="85">
        <v>1394.1196789999997</v>
      </c>
      <c r="O21" s="85">
        <v>1394.1196789999997</v>
      </c>
      <c r="P21" s="85">
        <v>962.05895000000021</v>
      </c>
      <c r="Q21" s="85">
        <v>1414.6193640000001</v>
      </c>
      <c r="R21" s="85">
        <v>796.28584999999998</v>
      </c>
      <c r="S21" s="85">
        <v>1216.6181939999999</v>
      </c>
      <c r="T21" s="85">
        <v>784.65079200000014</v>
      </c>
      <c r="U21" s="85">
        <v>1213.0136609999993</v>
      </c>
      <c r="V21" s="85">
        <v>604.71873099999971</v>
      </c>
      <c r="W21" s="85">
        <v>1529.6410000000001</v>
      </c>
      <c r="X21" s="85">
        <v>1412.9232340000001</v>
      </c>
      <c r="Y21" s="85">
        <v>1405.354077</v>
      </c>
      <c r="Z21" s="85">
        <v>907.14416800000004</v>
      </c>
      <c r="AC21" s="114"/>
    </row>
    <row r="22" spans="1:29" x14ac:dyDescent="0.25">
      <c r="A22" s="36" t="s">
        <v>62</v>
      </c>
      <c r="B22" s="80">
        <f t="shared" ref="B22:I22" si="34">+SUM(B17:B21)</f>
        <v>1996.2145420000002</v>
      </c>
      <c r="C22" s="80">
        <f t="shared" si="34"/>
        <v>1280.0164159999999</v>
      </c>
      <c r="D22" s="80">
        <f t="shared" si="34"/>
        <v>2410.1925600000004</v>
      </c>
      <c r="E22" s="80">
        <f t="shared" si="34"/>
        <v>1199.3581060000001</v>
      </c>
      <c r="F22" s="80">
        <f t="shared" si="34"/>
        <v>2339.8670580000003</v>
      </c>
      <c r="G22" s="80">
        <f t="shared" si="34"/>
        <v>1848.8016029999999</v>
      </c>
      <c r="H22" s="80">
        <f t="shared" si="34"/>
        <v>3683.3572720000002</v>
      </c>
      <c r="I22" s="80">
        <f t="shared" si="34"/>
        <v>1835.8326519999998</v>
      </c>
      <c r="J22" s="80">
        <f t="shared" ref="J22:N22" si="35">+SUM(J17:J21)</f>
        <v>2962.6171990000003</v>
      </c>
      <c r="K22" s="80">
        <f t="shared" si="35"/>
        <v>2905.1559999999999</v>
      </c>
      <c r="L22" s="80">
        <f t="shared" si="35"/>
        <v>5899.8985039999998</v>
      </c>
      <c r="M22" s="80">
        <f t="shared" si="35"/>
        <v>3142.9579199999998</v>
      </c>
      <c r="N22" s="80">
        <f t="shared" si="35"/>
        <v>5059.7335239999993</v>
      </c>
      <c r="O22" s="80">
        <f t="shared" ref="O22" si="36">+SUM(O17:O21)</f>
        <v>5271.9183199999989</v>
      </c>
      <c r="P22" s="80">
        <f t="shared" ref="P22" si="37">+SUM(P17:P21)</f>
        <v>4656.0070940000005</v>
      </c>
      <c r="Q22" s="80">
        <f t="shared" ref="Q22" si="38">+SUM(Q17:Q21)</f>
        <v>7487.0997770000004</v>
      </c>
      <c r="R22" s="80">
        <f t="shared" ref="R22" si="39">+SUM(R17:R21)</f>
        <v>6653.521404000001</v>
      </c>
      <c r="S22" s="80">
        <f t="shared" ref="S22" si="40">+SUM(S17:S21)</f>
        <v>7348.3764439999995</v>
      </c>
      <c r="T22" s="80">
        <f t="shared" ref="T22" si="41">+SUM(T17:T21)</f>
        <v>7413.0516260000004</v>
      </c>
      <c r="U22" s="80">
        <f t="shared" ref="U22" si="42">+SUM(U17:U21)</f>
        <v>11656.239629999998</v>
      </c>
      <c r="V22" s="80">
        <f t="shared" ref="V22" si="43">+SUM(V17:V21)</f>
        <v>8096.8505790000008</v>
      </c>
      <c r="W22" s="80">
        <f t="shared" ref="W22:X22" si="44">+SUM(W17:W21)</f>
        <v>10186.806</v>
      </c>
      <c r="X22" s="80">
        <f t="shared" si="44"/>
        <v>10608.429577000001</v>
      </c>
      <c r="Y22" s="80">
        <f t="shared" ref="Y22:Z22" si="45">+SUM(Y17:Y21)</f>
        <v>13668.647520999999</v>
      </c>
      <c r="Z22" s="80">
        <f t="shared" si="45"/>
        <v>9466.6066850000007</v>
      </c>
    </row>
    <row r="23" spans="1:29" x14ac:dyDescent="0.25">
      <c r="A23" s="36" t="s">
        <v>63</v>
      </c>
      <c r="B23" s="80">
        <f t="shared" ref="B23:I23" si="46">+B22+B16</f>
        <v>3045.8690120000001</v>
      </c>
      <c r="C23" s="80">
        <f t="shared" si="46"/>
        <v>2322.9390370000001</v>
      </c>
      <c r="D23" s="80">
        <f t="shared" si="46"/>
        <v>3508.9339310000005</v>
      </c>
      <c r="E23" s="80">
        <f t="shared" si="46"/>
        <v>2290.986163</v>
      </c>
      <c r="F23" s="80">
        <f t="shared" si="46"/>
        <v>3435.237427</v>
      </c>
      <c r="G23" s="80">
        <f t="shared" si="46"/>
        <v>3041.1519429999998</v>
      </c>
      <c r="H23" s="80">
        <f t="shared" si="46"/>
        <v>4933.7961000000005</v>
      </c>
      <c r="I23" s="80">
        <f t="shared" si="46"/>
        <v>3097.313247</v>
      </c>
      <c r="J23" s="80">
        <f t="shared" ref="J23:N23" si="47">+J22+J16</f>
        <v>4178.6355090000006</v>
      </c>
      <c r="K23" s="80">
        <f t="shared" si="47"/>
        <v>4195.6245199999994</v>
      </c>
      <c r="L23" s="80">
        <f t="shared" si="47"/>
        <v>7162.5446439999996</v>
      </c>
      <c r="M23" s="80">
        <f t="shared" si="47"/>
        <v>4417.6225859999995</v>
      </c>
      <c r="N23" s="80">
        <f t="shared" si="47"/>
        <v>6314.6263369999997</v>
      </c>
      <c r="O23" s="80">
        <f t="shared" ref="O23" si="48">+O22+O16</f>
        <v>6526.8111329999992</v>
      </c>
      <c r="P23" s="80">
        <f t="shared" ref="P23" si="49">+P22+P16</f>
        <v>5878.2377450000004</v>
      </c>
      <c r="Q23" s="80">
        <f t="shared" ref="Q23:R23" si="50">+Q22+Q16</f>
        <v>8972.9441970000007</v>
      </c>
      <c r="R23" s="80">
        <f t="shared" si="50"/>
        <v>8170.0657930000016</v>
      </c>
      <c r="S23" s="80">
        <f t="shared" ref="S23:T23" si="51">+S22+S16</f>
        <v>11506.115213999999</v>
      </c>
      <c r="T23" s="80">
        <f t="shared" si="51"/>
        <v>11499.833193</v>
      </c>
      <c r="U23" s="80">
        <f t="shared" ref="U23:V23" si="52">+U22+U16</f>
        <v>15984.015624999998</v>
      </c>
      <c r="V23" s="80">
        <f t="shared" si="52"/>
        <v>12762.397704000001</v>
      </c>
      <c r="W23" s="80">
        <f t="shared" ref="W23" si="53">+W22+W16</f>
        <v>14833.256000000001</v>
      </c>
      <c r="X23" s="80">
        <f>+X22+X16</f>
        <v>15449.312145</v>
      </c>
      <c r="Y23" s="80">
        <f>+Y22+Y16</f>
        <v>18594.043586</v>
      </c>
      <c r="Z23" s="80">
        <f>+Z22+Z16</f>
        <v>14384.006524</v>
      </c>
      <c r="AC23" s="114"/>
    </row>
    <row r="24" spans="1:29" x14ac:dyDescent="0.25">
      <c r="A24" s="35" t="s">
        <v>64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9" x14ac:dyDescent="0.25">
      <c r="A25" s="44" t="s">
        <v>65</v>
      </c>
      <c r="B25" s="85">
        <v>75.394064999999998</v>
      </c>
      <c r="C25" s="85">
        <v>74.582239000000001</v>
      </c>
      <c r="D25" s="85">
        <v>75.394107999999989</v>
      </c>
      <c r="E25" s="85">
        <v>75.393787000000003</v>
      </c>
      <c r="F25" s="85">
        <v>75.394064999999998</v>
      </c>
      <c r="G25" s="85">
        <v>75.394115999999997</v>
      </c>
      <c r="H25" s="85">
        <v>75.394064</v>
      </c>
      <c r="I25" s="85">
        <v>75.194999999999993</v>
      </c>
      <c r="J25" s="85">
        <v>76.624062999999992</v>
      </c>
      <c r="K25" s="85">
        <v>76.623999999999995</v>
      </c>
      <c r="L25" s="85">
        <v>81.23944800000001</v>
      </c>
      <c r="M25" s="85">
        <v>81.239448999999993</v>
      </c>
      <c r="N25" s="85">
        <v>81.687517000000014</v>
      </c>
      <c r="O25" s="85">
        <v>81.687517000000014</v>
      </c>
      <c r="P25" s="85">
        <v>83.279228000000003</v>
      </c>
      <c r="Q25" s="85">
        <v>83.978863000000004</v>
      </c>
      <c r="R25" s="85">
        <v>83.978863000000004</v>
      </c>
      <c r="S25" s="85">
        <v>88.07198600000001</v>
      </c>
      <c r="T25" s="85">
        <v>88.07198600000001</v>
      </c>
      <c r="U25" s="85">
        <v>88.61448399999999</v>
      </c>
      <c r="V25" s="85">
        <v>89.285767000000007</v>
      </c>
      <c r="W25" s="85">
        <v>89.285767000000007</v>
      </c>
      <c r="X25" s="85">
        <v>89.400994999999995</v>
      </c>
      <c r="Y25" s="85">
        <v>89.399235000000004</v>
      </c>
      <c r="Z25" s="85">
        <v>89.574574999999996</v>
      </c>
      <c r="AC25" s="114"/>
    </row>
    <row r="26" spans="1:29" x14ac:dyDescent="0.25">
      <c r="A26" s="44" t="s">
        <v>66</v>
      </c>
      <c r="B26" s="85">
        <v>-3.0999999999999999E-3</v>
      </c>
      <c r="C26" s="85">
        <v>-3.0999999999999999E-3</v>
      </c>
      <c r="D26" s="85">
        <v>-3.0999999999999999E-3</v>
      </c>
      <c r="E26" s="85">
        <v>-3.0999999999999999E-3</v>
      </c>
      <c r="F26" s="85">
        <v>-3.5099999999999999E-2</v>
      </c>
      <c r="G26" s="85">
        <v>-1.01E-2</v>
      </c>
      <c r="H26" s="85">
        <v>-1.01E-2</v>
      </c>
      <c r="I26" s="85">
        <v>-1.01E-2</v>
      </c>
      <c r="J26" s="85">
        <v>-1.01E-2</v>
      </c>
      <c r="K26" s="85">
        <v>-1.01E-2</v>
      </c>
      <c r="L26" s="85">
        <v>-1.01E-2</v>
      </c>
      <c r="M26" s="85">
        <v>-1.01E-2</v>
      </c>
      <c r="N26" s="85">
        <v>-1.01E-2</v>
      </c>
      <c r="O26" s="85">
        <v>-1.01E-2</v>
      </c>
      <c r="P26" s="85">
        <v>-1.01E-2</v>
      </c>
      <c r="Q26" s="85">
        <v>-1.01E-2</v>
      </c>
      <c r="R26" s="85">
        <v>-1.01E-2</v>
      </c>
      <c r="S26" s="85">
        <v>-1.01E-2</v>
      </c>
      <c r="T26" s="85">
        <v>-1.01E-2</v>
      </c>
      <c r="U26" s="85">
        <v>-1.01E-2</v>
      </c>
      <c r="V26" s="85">
        <v>-1.01E-2</v>
      </c>
      <c r="W26" s="85">
        <v>-1.01E-2</v>
      </c>
      <c r="X26" s="85">
        <v>-1.01E-2</v>
      </c>
      <c r="Y26" s="85">
        <v>-1.01E-2</v>
      </c>
      <c r="Z26" s="85">
        <v>-1.01E-2</v>
      </c>
      <c r="AC26" s="114"/>
    </row>
    <row r="27" spans="1:29" x14ac:dyDescent="0.25">
      <c r="A27" s="44" t="s">
        <v>67</v>
      </c>
      <c r="B27" s="85">
        <v>588.05115999999998</v>
      </c>
      <c r="C27" s="85">
        <v>588.56363699999997</v>
      </c>
      <c r="D27" s="85">
        <v>588.05115599999999</v>
      </c>
      <c r="E27" s="85">
        <v>588.05076599999995</v>
      </c>
      <c r="F27" s="85">
        <v>588.05115999999998</v>
      </c>
      <c r="G27" s="85">
        <v>588.41366200000004</v>
      </c>
      <c r="H27" s="85">
        <v>588.41366000000005</v>
      </c>
      <c r="I27" s="85">
        <v>588.46299999999997</v>
      </c>
      <c r="J27" s="85">
        <v>622.14968500000009</v>
      </c>
      <c r="K27" s="85">
        <v>622.14968500000009</v>
      </c>
      <c r="L27" s="85">
        <v>914.17482400000006</v>
      </c>
      <c r="M27" s="85">
        <v>914.17482400000006</v>
      </c>
      <c r="N27" s="85">
        <v>976.887472</v>
      </c>
      <c r="O27" s="85">
        <v>976.887472</v>
      </c>
      <c r="P27" s="85">
        <v>975.29576199999997</v>
      </c>
      <c r="Q27" s="85">
        <v>1053.5150160000001</v>
      </c>
      <c r="R27" s="85">
        <v>1053.5150160000001</v>
      </c>
      <c r="S27" s="85">
        <v>1734.1590859999999</v>
      </c>
      <c r="T27" s="85">
        <v>1734.1590859999999</v>
      </c>
      <c r="U27" s="85">
        <v>1806.306433</v>
      </c>
      <c r="V27" s="85">
        <v>1817.6937039999998</v>
      </c>
      <c r="W27" s="85">
        <v>1817.693</v>
      </c>
      <c r="X27" s="85">
        <v>1817.6929869999999</v>
      </c>
      <c r="Y27" s="85">
        <v>1817.6929869999999</v>
      </c>
      <c r="Z27" s="85">
        <v>1820.713121</v>
      </c>
      <c r="AC27" s="114"/>
    </row>
    <row r="28" spans="1:29" x14ac:dyDescent="0.25">
      <c r="A28" s="36" t="s">
        <v>68</v>
      </c>
      <c r="B28" s="80">
        <f t="shared" ref="B28:I28" si="54">+SUM(B25:B27)</f>
        <v>663.44212500000003</v>
      </c>
      <c r="C28" s="80">
        <f t="shared" si="54"/>
        <v>663.14277599999991</v>
      </c>
      <c r="D28" s="80">
        <f t="shared" si="54"/>
        <v>663.44216399999993</v>
      </c>
      <c r="E28" s="80">
        <f t="shared" si="54"/>
        <v>663.44145299999991</v>
      </c>
      <c r="F28" s="80">
        <f t="shared" si="54"/>
        <v>663.41012499999999</v>
      </c>
      <c r="G28" s="80">
        <f t="shared" si="54"/>
        <v>663.79767800000002</v>
      </c>
      <c r="H28" s="80">
        <f t="shared" si="54"/>
        <v>663.79762400000004</v>
      </c>
      <c r="I28" s="80">
        <f t="shared" si="54"/>
        <v>663.64789999999994</v>
      </c>
      <c r="J28" s="80">
        <f t="shared" ref="J28:V28" si="55">+SUM(J25:J27)</f>
        <v>698.7636480000001</v>
      </c>
      <c r="K28" s="80">
        <f t="shared" si="55"/>
        <v>698.76358500000015</v>
      </c>
      <c r="L28" s="80">
        <f t="shared" si="55"/>
        <v>995.40417200000002</v>
      </c>
      <c r="M28" s="80">
        <f t="shared" si="55"/>
        <v>995.40417300000001</v>
      </c>
      <c r="N28" s="80">
        <f t="shared" si="55"/>
        <v>1058.564889</v>
      </c>
      <c r="O28" s="80">
        <f t="shared" ref="O28" si="56">+SUM(O25:O27)</f>
        <v>1058.564889</v>
      </c>
      <c r="P28" s="80">
        <f t="shared" si="55"/>
        <v>1058.5648899999999</v>
      </c>
      <c r="Q28" s="80">
        <f t="shared" si="55"/>
        <v>1137.4837790000001</v>
      </c>
      <c r="R28" s="80">
        <f t="shared" si="55"/>
        <v>1137.4837790000001</v>
      </c>
      <c r="S28" s="80">
        <f t="shared" si="55"/>
        <v>1822.2209719999998</v>
      </c>
      <c r="T28" s="80">
        <f t="shared" si="55"/>
        <v>1822.2209719999998</v>
      </c>
      <c r="U28" s="80">
        <f t="shared" si="55"/>
        <v>1894.910817</v>
      </c>
      <c r="V28" s="80">
        <f t="shared" si="55"/>
        <v>1906.9693709999999</v>
      </c>
      <c r="W28" s="80">
        <f t="shared" ref="W28:X28" si="57">+SUM(W25:W27)</f>
        <v>1906.9686670000001</v>
      </c>
      <c r="X28" s="80">
        <f t="shared" si="57"/>
        <v>1907.0838819999999</v>
      </c>
      <c r="Y28" s="80">
        <f t="shared" ref="Y28:Z28" si="58">+SUM(Y25:Y27)</f>
        <v>1907.0821219999998</v>
      </c>
      <c r="Z28" s="80">
        <f t="shared" si="58"/>
        <v>1910.2775959999999</v>
      </c>
    </row>
    <row r="29" spans="1:29" x14ac:dyDescent="0.25">
      <c r="A29" s="44" t="s">
        <v>69</v>
      </c>
      <c r="B29" s="85">
        <v>-105.597449</v>
      </c>
      <c r="C29" s="85">
        <v>-123.710227</v>
      </c>
      <c r="D29" s="85">
        <v>-82.038668000000001</v>
      </c>
      <c r="E29" s="85">
        <v>-111.17278599999999</v>
      </c>
      <c r="F29" s="85">
        <v>-72.520456999999993</v>
      </c>
      <c r="G29" s="85">
        <v>-88.228543999999999</v>
      </c>
      <c r="H29" s="85">
        <v>-73.275000000000006</v>
      </c>
      <c r="I29" s="85">
        <v>-59.000999999999998</v>
      </c>
      <c r="J29" s="85">
        <v>-105.292</v>
      </c>
      <c r="K29" s="85">
        <f>-24.688</f>
        <v>-24.687999999999999</v>
      </c>
      <c r="L29" s="85">
        <v>19.315000000000001</v>
      </c>
      <c r="M29" s="85">
        <v>2.7309564569812839</v>
      </c>
      <c r="N29" s="85">
        <v>41.276000000000003</v>
      </c>
      <c r="O29" s="85">
        <f>41.276+203.754317</f>
        <v>245.030317</v>
      </c>
      <c r="P29" s="85">
        <v>269.76499999999999</v>
      </c>
      <c r="Q29" s="85">
        <v>424.851003536451</v>
      </c>
      <c r="R29" s="85">
        <v>301.51657791640702</v>
      </c>
      <c r="S29" s="85">
        <v>494.20401203916998</v>
      </c>
      <c r="T29" s="85">
        <v>501.34826676916998</v>
      </c>
      <c r="U29" s="85">
        <v>734.74824268795101</v>
      </c>
      <c r="V29" s="85">
        <v>746.404774226575</v>
      </c>
      <c r="W29" s="85">
        <v>603.55100000000004</v>
      </c>
      <c r="X29" s="85">
        <v>699.74950200000001</v>
      </c>
      <c r="Y29" s="85">
        <v>900.82512199999996</v>
      </c>
      <c r="Z29" s="85">
        <v>783.76267399999995</v>
      </c>
      <c r="AC29" s="114"/>
    </row>
    <row r="30" spans="1:29" x14ac:dyDescent="0.25">
      <c r="A30" s="36" t="s">
        <v>70</v>
      </c>
      <c r="B30" s="80">
        <f t="shared" ref="B30:I30" si="59">+B29+B28</f>
        <v>557.84467600000005</v>
      </c>
      <c r="C30" s="80">
        <f t="shared" si="59"/>
        <v>539.43254899999988</v>
      </c>
      <c r="D30" s="80">
        <f t="shared" si="59"/>
        <v>581.4034959999999</v>
      </c>
      <c r="E30" s="80">
        <f t="shared" si="59"/>
        <v>552.26866699999994</v>
      </c>
      <c r="F30" s="80">
        <f t="shared" si="59"/>
        <v>590.88966800000003</v>
      </c>
      <c r="G30" s="80">
        <f t="shared" si="59"/>
        <v>575.56913400000008</v>
      </c>
      <c r="H30" s="80">
        <f t="shared" si="59"/>
        <v>590.52262400000006</v>
      </c>
      <c r="I30" s="80">
        <f t="shared" si="59"/>
        <v>604.64689999999996</v>
      </c>
      <c r="J30" s="80">
        <f t="shared" ref="J30:V30" si="60">+J29+J28</f>
        <v>593.47164800000007</v>
      </c>
      <c r="K30" s="80">
        <f t="shared" si="60"/>
        <v>674.07558500000016</v>
      </c>
      <c r="L30" s="80">
        <f t="shared" si="60"/>
        <v>1014.7191720000001</v>
      </c>
      <c r="M30" s="80">
        <f t="shared" si="60"/>
        <v>998.1351294569813</v>
      </c>
      <c r="N30" s="80">
        <f t="shared" si="60"/>
        <v>1099.8408890000001</v>
      </c>
      <c r="O30" s="80">
        <f t="shared" ref="O30" si="61">+O29+O28</f>
        <v>1303.595206</v>
      </c>
      <c r="P30" s="80">
        <f t="shared" si="60"/>
        <v>1328.32989</v>
      </c>
      <c r="Q30" s="80">
        <f t="shared" si="60"/>
        <v>1562.3347825364513</v>
      </c>
      <c r="R30" s="80">
        <f t="shared" si="60"/>
        <v>1439.0003569164071</v>
      </c>
      <c r="S30" s="80">
        <f t="shared" si="60"/>
        <v>2316.4249840391699</v>
      </c>
      <c r="T30" s="80">
        <f t="shared" si="60"/>
        <v>2323.5692387691697</v>
      </c>
      <c r="U30" s="80">
        <f t="shared" si="60"/>
        <v>2629.659059687951</v>
      </c>
      <c r="V30" s="80">
        <f t="shared" si="60"/>
        <v>2653.3741452265749</v>
      </c>
      <c r="W30" s="80">
        <f t="shared" ref="W30:X30" si="62">+W29+W28</f>
        <v>2510.519667</v>
      </c>
      <c r="X30" s="80">
        <f t="shared" si="62"/>
        <v>2606.833384</v>
      </c>
      <c r="Y30" s="80">
        <f t="shared" ref="Y30:Z30" si="63">+Y29+Y28</f>
        <v>2807.907244</v>
      </c>
      <c r="Z30" s="80">
        <f t="shared" si="63"/>
        <v>2694.04027</v>
      </c>
    </row>
    <row r="31" spans="1:29" x14ac:dyDescent="0.25">
      <c r="A31" s="44" t="s">
        <v>71</v>
      </c>
      <c r="B31" s="85">
        <v>8.153302</v>
      </c>
      <c r="C31" s="85">
        <v>10.416819</v>
      </c>
      <c r="D31" s="85">
        <v>11.059977999999999</v>
      </c>
      <c r="E31" s="85">
        <v>6.214518</v>
      </c>
      <c r="F31" s="85">
        <v>-4.5808230000000005</v>
      </c>
      <c r="G31" s="85">
        <v>-7.4722400000000002</v>
      </c>
      <c r="H31" s="85">
        <v>-6.4827879999999993</v>
      </c>
      <c r="I31" s="85">
        <v>-10.592692999999999</v>
      </c>
      <c r="J31" s="85">
        <v>-8.0589999999999993</v>
      </c>
      <c r="K31" s="85">
        <f>-12.882</f>
        <v>-12.882</v>
      </c>
      <c r="L31" s="85">
        <v>-6.9613699999999996</v>
      </c>
      <c r="M31" s="85">
        <v>-7.4321644569812833</v>
      </c>
      <c r="N31" s="85">
        <v>3.3340000000000001</v>
      </c>
      <c r="O31" s="85">
        <v>3.3340000000000001</v>
      </c>
      <c r="P31" s="85">
        <v>1.830619</v>
      </c>
      <c r="Q31" s="85">
        <v>18.450401000000003</v>
      </c>
      <c r="R31" s="85">
        <v>19.047084999999999</v>
      </c>
      <c r="S31" s="85">
        <v>36.440114999999999</v>
      </c>
      <c r="T31" s="85">
        <v>26.473812000000002</v>
      </c>
      <c r="U31" s="85">
        <v>48.427016999999999</v>
      </c>
      <c r="V31" s="85">
        <v>43.441877999999996</v>
      </c>
      <c r="W31" s="85">
        <v>29.832999999999998</v>
      </c>
      <c r="X31" s="85">
        <v>23.536041000000001</v>
      </c>
      <c r="Y31" s="85">
        <v>33.026614000000002</v>
      </c>
      <c r="Z31" s="85">
        <v>35.294122000000002</v>
      </c>
      <c r="AC31" s="114"/>
    </row>
    <row r="32" spans="1:29" x14ac:dyDescent="0.25">
      <c r="A32" s="36" t="s">
        <v>72</v>
      </c>
      <c r="B32" s="80">
        <f t="shared" ref="B32:I32" si="64">+B31+B30</f>
        <v>565.9979780000001</v>
      </c>
      <c r="C32" s="80">
        <f t="shared" si="64"/>
        <v>549.84936799999991</v>
      </c>
      <c r="D32" s="80">
        <f t="shared" si="64"/>
        <v>592.46347399999991</v>
      </c>
      <c r="E32" s="80">
        <f t="shared" si="64"/>
        <v>558.48318499999993</v>
      </c>
      <c r="F32" s="80">
        <f t="shared" si="64"/>
        <v>586.30884500000002</v>
      </c>
      <c r="G32" s="80">
        <f t="shared" si="64"/>
        <v>568.09689400000002</v>
      </c>
      <c r="H32" s="80">
        <f t="shared" si="64"/>
        <v>584.03983600000004</v>
      </c>
      <c r="I32" s="80">
        <f t="shared" si="64"/>
        <v>594.05420699999991</v>
      </c>
      <c r="J32" s="80">
        <f t="shared" ref="J32:V32" si="65">+J31+J30</f>
        <v>585.4126480000001</v>
      </c>
      <c r="K32" s="80">
        <f t="shared" si="65"/>
        <v>661.19358500000021</v>
      </c>
      <c r="L32" s="80">
        <f t="shared" si="65"/>
        <v>1007.7578020000001</v>
      </c>
      <c r="M32" s="80">
        <f t="shared" si="65"/>
        <v>990.70296500000006</v>
      </c>
      <c r="N32" s="80">
        <f t="shared" si="65"/>
        <v>1103.1748890000001</v>
      </c>
      <c r="O32" s="80">
        <f t="shared" ref="O32" si="66">+O31+O30</f>
        <v>1306.929206</v>
      </c>
      <c r="P32" s="80">
        <f t="shared" si="65"/>
        <v>1330.160509</v>
      </c>
      <c r="Q32" s="80">
        <f t="shared" si="65"/>
        <v>1580.7851835364513</v>
      </c>
      <c r="R32" s="80">
        <f t="shared" si="65"/>
        <v>1458.047441916407</v>
      </c>
      <c r="S32" s="80">
        <f t="shared" si="65"/>
        <v>2352.8650990391698</v>
      </c>
      <c r="T32" s="80">
        <f t="shared" si="65"/>
        <v>2350.0430507691699</v>
      </c>
      <c r="U32" s="80">
        <f t="shared" si="65"/>
        <v>2678.0860766879509</v>
      </c>
      <c r="V32" s="80">
        <f t="shared" si="65"/>
        <v>2696.816023226575</v>
      </c>
      <c r="W32" s="80">
        <f t="shared" ref="W32" si="67">+W31+W30</f>
        <v>2540.3526670000001</v>
      </c>
      <c r="X32" s="80">
        <f>+X31+X30</f>
        <v>2630.3694249999999</v>
      </c>
      <c r="Y32" s="80">
        <f>+Y31+Y30</f>
        <v>2840.9338579999999</v>
      </c>
      <c r="Z32" s="80">
        <f>+Z31+Z30</f>
        <v>2729.3343919999998</v>
      </c>
    </row>
    <row r="33" spans="1:30" x14ac:dyDescent="0.25">
      <c r="A33" s="44" t="s">
        <v>73</v>
      </c>
      <c r="B33" s="85">
        <v>442.05765599999995</v>
      </c>
      <c r="C33" s="85">
        <v>444.65747600000003</v>
      </c>
      <c r="D33" s="85">
        <v>445.27987399999995</v>
      </c>
      <c r="E33" s="85">
        <v>445.91328199999998</v>
      </c>
      <c r="F33" s="85">
        <v>446.55789700000003</v>
      </c>
      <c r="G33" s="85">
        <v>447.21391899999998</v>
      </c>
      <c r="H33" s="85">
        <v>447.88154800000001</v>
      </c>
      <c r="I33" s="85">
        <v>448.56098800000001</v>
      </c>
      <c r="J33" s="85">
        <v>293.18808499999994</v>
      </c>
      <c r="K33" s="85">
        <v>293.73399999999998</v>
      </c>
      <c r="L33" s="85">
        <v>294.02844599999997</v>
      </c>
      <c r="M33" s="85">
        <v>294.61690499999997</v>
      </c>
      <c r="N33" s="85">
        <v>295.21455900000001</v>
      </c>
      <c r="O33" s="85">
        <v>295.21455900000001</v>
      </c>
      <c r="P33" s="85">
        <v>295.821549</v>
      </c>
      <c r="Q33" s="85">
        <v>296.43802499999998</v>
      </c>
      <c r="R33" s="85">
        <v>297.12330799999995</v>
      </c>
      <c r="S33" s="85">
        <v>1771.0515359999999</v>
      </c>
      <c r="T33" s="85">
        <v>1772.6674909999999</v>
      </c>
      <c r="U33" s="85">
        <v>1774.4199229999999</v>
      </c>
      <c r="V33" s="85">
        <v>1776.1943119999999</v>
      </c>
      <c r="W33" s="85">
        <v>2677.9870000000001</v>
      </c>
      <c r="X33" s="85">
        <v>2528.7839600000002</v>
      </c>
      <c r="Y33" s="85">
        <v>1789.6818470000001</v>
      </c>
      <c r="Z33" s="85">
        <v>1790.8479</v>
      </c>
      <c r="AC33" s="114"/>
    </row>
    <row r="34" spans="1:30" x14ac:dyDescent="0.25">
      <c r="A34" s="44" t="s">
        <v>74</v>
      </c>
      <c r="B34" s="85">
        <v>3.6379270000000252</v>
      </c>
      <c r="C34" s="85">
        <v>-0.42532600000000093</v>
      </c>
      <c r="D34" s="85">
        <v>-3.0196439999999711</v>
      </c>
      <c r="E34" s="85">
        <v>-2.7466739999999992</v>
      </c>
      <c r="F34" s="85">
        <v>3.2596529999999913</v>
      </c>
      <c r="G34" s="85">
        <v>-1.2257289999999921</v>
      </c>
      <c r="H34" s="85">
        <v>-1.683439000000013</v>
      </c>
      <c r="I34" s="85">
        <v>-0.30291600000002655</v>
      </c>
      <c r="J34" s="85">
        <v>0.11447200000000884</v>
      </c>
      <c r="K34" s="85">
        <v>13.877000000000001</v>
      </c>
      <c r="L34" s="85">
        <v>-9.9999998928979032E-7</v>
      </c>
      <c r="M34" s="85">
        <v>-9.9999998928979032E-7</v>
      </c>
      <c r="N34" s="85">
        <v>-9.9999998928979032E-7</v>
      </c>
      <c r="O34" s="85">
        <v>-9.9999998928979032E-7</v>
      </c>
      <c r="P34" s="85">
        <v>-9.9999998928979032E-7</v>
      </c>
      <c r="Q34" s="85">
        <v>-9.9999998928979032E-7</v>
      </c>
      <c r="R34" s="85">
        <v>-9.9999998928979032E-7</v>
      </c>
      <c r="S34" s="85">
        <v>-9.9999994563404468E-7</v>
      </c>
      <c r="T34" s="85">
        <v>0</v>
      </c>
      <c r="U34" s="85">
        <v>0</v>
      </c>
      <c r="V34" s="85">
        <v>0</v>
      </c>
      <c r="W34" s="85">
        <v>0</v>
      </c>
      <c r="X34" s="85">
        <v>0</v>
      </c>
      <c r="Y34" s="85">
        <v>0</v>
      </c>
      <c r="Z34" s="85">
        <v>0</v>
      </c>
    </row>
    <row r="35" spans="1:30" x14ac:dyDescent="0.25">
      <c r="A35" s="44" t="s">
        <v>75</v>
      </c>
      <c r="B35" s="85">
        <v>-6.0847309999999997</v>
      </c>
      <c r="C35" s="85">
        <v>-19.371383000000002</v>
      </c>
      <c r="D35" s="85">
        <v>32.924872000000001</v>
      </c>
      <c r="E35" s="85">
        <v>31.154655999999999</v>
      </c>
      <c r="F35" s="85">
        <v>30.336375</v>
      </c>
      <c r="G35" s="85">
        <v>28.455773000000001</v>
      </c>
      <c r="H35" s="85">
        <v>31.587651000000001</v>
      </c>
      <c r="I35" s="85">
        <v>31.205273000000002</v>
      </c>
      <c r="J35" s="85">
        <v>29.702758999999997</v>
      </c>
      <c r="K35" s="85">
        <v>31.763000000000002</v>
      </c>
      <c r="L35" s="85">
        <v>28.364668000000002</v>
      </c>
      <c r="M35" s="85">
        <v>23.664273000000001</v>
      </c>
      <c r="N35" s="85">
        <v>21.505136999999998</v>
      </c>
      <c r="O35" s="85">
        <f>21.505137+57.469166</f>
        <v>78.974303000000006</v>
      </c>
      <c r="P35" s="85">
        <v>81.576999999999998</v>
      </c>
      <c r="Q35" s="85">
        <v>78.377282894896496</v>
      </c>
      <c r="R35" s="85">
        <v>72.842752591806999</v>
      </c>
      <c r="S35" s="85">
        <v>189.99815708797101</v>
      </c>
      <c r="T35" s="85">
        <v>185.017305857971</v>
      </c>
      <c r="U35" s="85">
        <v>185.25806829660101</v>
      </c>
      <c r="V35" s="85">
        <v>173.62375667929101</v>
      </c>
      <c r="W35" s="85">
        <v>199.61699999999999</v>
      </c>
      <c r="X35" s="85">
        <v>202.79118600000001</v>
      </c>
      <c r="Y35" s="85">
        <v>231.99457100000001</v>
      </c>
      <c r="Z35" s="85">
        <v>234.01152400000001</v>
      </c>
      <c r="AC35" s="114"/>
    </row>
    <row r="36" spans="1:30" x14ac:dyDescent="0.25">
      <c r="A36" s="44" t="s">
        <v>76</v>
      </c>
      <c r="B36" s="85">
        <v>0</v>
      </c>
      <c r="C36" s="85">
        <v>0</v>
      </c>
      <c r="D36" s="85">
        <v>0</v>
      </c>
      <c r="E36" s="85">
        <v>0</v>
      </c>
      <c r="F36" s="85">
        <v>0</v>
      </c>
      <c r="G36" s="85">
        <v>88.748174000000006</v>
      </c>
      <c r="H36" s="85">
        <v>108.432</v>
      </c>
      <c r="I36" s="85">
        <v>117.96369</v>
      </c>
      <c r="J36" s="85">
        <v>95.516557000000006</v>
      </c>
      <c r="K36" s="85">
        <v>102.93</v>
      </c>
      <c r="L36" s="85">
        <v>95.780061000000003</v>
      </c>
      <c r="M36" s="85">
        <v>108.64437699999999</v>
      </c>
      <c r="N36" s="85">
        <v>95.339610000000008</v>
      </c>
      <c r="O36" s="85">
        <v>95.339610000000008</v>
      </c>
      <c r="P36" s="85">
        <v>85.031997000000004</v>
      </c>
      <c r="Q36" s="85">
        <v>104.84605499999999</v>
      </c>
      <c r="R36" s="85">
        <v>96.151253999999994</v>
      </c>
      <c r="S36" s="85">
        <v>87.164357999999993</v>
      </c>
      <c r="T36" s="85">
        <v>80.027804999999987</v>
      </c>
      <c r="U36" s="85">
        <v>119.91261900000001</v>
      </c>
      <c r="V36" s="85">
        <v>343.04011200000002</v>
      </c>
      <c r="W36" s="85">
        <v>410.04700000000003</v>
      </c>
      <c r="X36" s="85">
        <v>413.942815</v>
      </c>
      <c r="Y36" s="85">
        <v>403.03952500000003</v>
      </c>
      <c r="Z36" s="85">
        <v>436.80425100000002</v>
      </c>
      <c r="AC36" s="114"/>
    </row>
    <row r="37" spans="1:30" x14ac:dyDescent="0.25">
      <c r="A37" s="44" t="s">
        <v>77</v>
      </c>
      <c r="B37" s="85">
        <v>7.1876150000000001</v>
      </c>
      <c r="C37" s="85">
        <v>7.1540540000000004</v>
      </c>
      <c r="D37" s="85">
        <v>14.414534</v>
      </c>
      <c r="E37" s="85">
        <v>11.560324000000001</v>
      </c>
      <c r="F37" s="85">
        <v>24.981681000000002</v>
      </c>
      <c r="G37" s="85">
        <v>18.256098999999999</v>
      </c>
      <c r="H37" s="85">
        <v>46.011192000000001</v>
      </c>
      <c r="I37" s="85">
        <v>38.229348000000002</v>
      </c>
      <c r="J37" s="85">
        <v>41.958197999999996</v>
      </c>
      <c r="K37" s="85">
        <v>42.682000000000002</v>
      </c>
      <c r="L37" s="85">
        <v>76.172529999999995</v>
      </c>
      <c r="M37" s="85">
        <v>72.742346000000012</v>
      </c>
      <c r="N37" s="85">
        <v>47.503</v>
      </c>
      <c r="O37" s="85">
        <v>47.503</v>
      </c>
      <c r="P37" s="85">
        <v>47.770089999999996</v>
      </c>
      <c r="Q37" s="85">
        <v>71.16</v>
      </c>
      <c r="R37" s="85">
        <v>61.655627000000003</v>
      </c>
      <c r="S37" s="85">
        <v>58.197466999999996</v>
      </c>
      <c r="T37" s="85">
        <v>31.124827</v>
      </c>
      <c r="U37" s="85">
        <v>24.941050999999998</v>
      </c>
      <c r="V37" s="85">
        <v>26.380970000000001</v>
      </c>
      <c r="W37" s="85">
        <v>33.185000000000002</v>
      </c>
      <c r="X37" s="85">
        <v>38.812852999999997</v>
      </c>
      <c r="Y37" s="85">
        <v>32.343732000000003</v>
      </c>
      <c r="Z37" s="85">
        <v>28.345521000000002</v>
      </c>
      <c r="AC37" s="114"/>
    </row>
    <row r="38" spans="1:30" x14ac:dyDescent="0.25">
      <c r="A38" s="36" t="s">
        <v>78</v>
      </c>
      <c r="B38" s="80">
        <f t="shared" ref="B38:I38" si="68">+SUM(B33:B37)</f>
        <v>446.79846700000002</v>
      </c>
      <c r="C38" s="80">
        <f t="shared" si="68"/>
        <v>432.01482100000004</v>
      </c>
      <c r="D38" s="80">
        <f t="shared" si="68"/>
        <v>489.59963599999998</v>
      </c>
      <c r="E38" s="80">
        <f t="shared" si="68"/>
        <v>485.88158799999997</v>
      </c>
      <c r="F38" s="80">
        <f t="shared" si="68"/>
        <v>505.135606</v>
      </c>
      <c r="G38" s="80">
        <f t="shared" si="68"/>
        <v>581.44823599999995</v>
      </c>
      <c r="H38" s="80">
        <f t="shared" si="68"/>
        <v>632.22895200000005</v>
      </c>
      <c r="I38" s="80">
        <f t="shared" si="68"/>
        <v>635.65638299999989</v>
      </c>
      <c r="J38" s="80">
        <f t="shared" ref="J38:V38" si="69">+SUM(J33:J37)</f>
        <v>460.48007100000001</v>
      </c>
      <c r="K38" s="80">
        <f t="shared" si="69"/>
        <v>484.98599999999999</v>
      </c>
      <c r="L38" s="80">
        <f t="shared" si="69"/>
        <v>494.34570399999996</v>
      </c>
      <c r="M38" s="80">
        <f t="shared" si="69"/>
        <v>499.66789999999992</v>
      </c>
      <c r="N38" s="80">
        <f t="shared" si="69"/>
        <v>459.56230499999998</v>
      </c>
      <c r="O38" s="80">
        <f t="shared" ref="O38" si="70">+SUM(O33:O37)</f>
        <v>517.03147100000001</v>
      </c>
      <c r="P38" s="80">
        <f t="shared" si="69"/>
        <v>510.20063499999998</v>
      </c>
      <c r="Q38" s="80">
        <f t="shared" si="69"/>
        <v>550.82136189489643</v>
      </c>
      <c r="R38" s="80">
        <f t="shared" si="69"/>
        <v>527.7729405918069</v>
      </c>
      <c r="S38" s="80">
        <f t="shared" si="69"/>
        <v>2106.4115170879713</v>
      </c>
      <c r="T38" s="80">
        <f t="shared" si="69"/>
        <v>2068.8374288579707</v>
      </c>
      <c r="U38" s="80">
        <f t="shared" si="69"/>
        <v>2104.5316612966008</v>
      </c>
      <c r="V38" s="80">
        <f t="shared" si="69"/>
        <v>2319.239150679291</v>
      </c>
      <c r="W38" s="80">
        <f t="shared" ref="W38" si="71">+SUM(W33:W37)</f>
        <v>3320.8360000000002</v>
      </c>
      <c r="X38" s="80">
        <f>+SUM(X33:X37)</f>
        <v>3184.3308139999999</v>
      </c>
      <c r="Y38" s="80">
        <f>+SUM(Y33:Y37)</f>
        <v>2457.059675</v>
      </c>
      <c r="Z38" s="80">
        <f>+SUM(Z33:Z37)</f>
        <v>2490.009196</v>
      </c>
    </row>
    <row r="39" spans="1:30" x14ac:dyDescent="0.25">
      <c r="A39" s="44" t="s">
        <v>79</v>
      </c>
      <c r="B39" s="85">
        <v>1600.5660809999999</v>
      </c>
      <c r="C39" s="85">
        <v>1002.5657169999999</v>
      </c>
      <c r="D39" s="85">
        <v>1913.2961559999999</v>
      </c>
      <c r="E39" s="85">
        <v>934.478296</v>
      </c>
      <c r="F39" s="85">
        <v>1787.346106</v>
      </c>
      <c r="G39" s="85">
        <v>1352.558303</v>
      </c>
      <c r="H39" s="85">
        <v>3079.183759</v>
      </c>
      <c r="I39" s="85">
        <v>1287.7180390000001</v>
      </c>
      <c r="J39" s="85">
        <v>2361.1882270000001</v>
      </c>
      <c r="K39" s="85">
        <v>2309.049</v>
      </c>
      <c r="L39" s="85">
        <v>4702.5739299999996</v>
      </c>
      <c r="M39" s="85">
        <v>2252.5200150000001</v>
      </c>
      <c r="N39" s="85">
        <v>3560.04</v>
      </c>
      <c r="O39" s="85">
        <v>3560.04</v>
      </c>
      <c r="P39" s="85">
        <v>3146.9565229999998</v>
      </c>
      <c r="Q39" s="85">
        <v>5341.2439999999997</v>
      </c>
      <c r="R39" s="85">
        <v>3106.0448709999996</v>
      </c>
      <c r="S39" s="85">
        <v>4813.7720209999998</v>
      </c>
      <c r="T39" s="85">
        <v>4945.1123420000004</v>
      </c>
      <c r="U39" s="85">
        <v>8339.9952350000003</v>
      </c>
      <c r="V39" s="85">
        <v>5186.9917019999993</v>
      </c>
      <c r="W39" s="85">
        <v>6563.28</v>
      </c>
      <c r="X39" s="85">
        <v>7280.8576899999998</v>
      </c>
      <c r="Y39" s="85">
        <v>9505.6663079999998</v>
      </c>
      <c r="Z39" s="85">
        <v>5293.4997080000003</v>
      </c>
      <c r="AC39" s="114"/>
    </row>
    <row r="40" spans="1:30" x14ac:dyDescent="0.25">
      <c r="A40" s="44" t="s">
        <v>80</v>
      </c>
      <c r="B40" s="85">
        <v>9.0337510000000005</v>
      </c>
      <c r="C40" s="85">
        <v>0.27783800000000003</v>
      </c>
      <c r="D40" s="85">
        <v>6.7008530000000004</v>
      </c>
      <c r="E40" s="85">
        <v>1.7915329999999998</v>
      </c>
      <c r="F40" s="85">
        <v>20.311423999999999</v>
      </c>
      <c r="G40" s="85">
        <v>14.45682</v>
      </c>
      <c r="H40" s="85">
        <v>14.489042999999999</v>
      </c>
      <c r="I40" s="85">
        <v>22.114562000000003</v>
      </c>
      <c r="J40" s="85">
        <v>24.40549</v>
      </c>
      <c r="K40" s="85">
        <v>25.135480000000001</v>
      </c>
      <c r="L40" s="85">
        <v>39.533000000000001</v>
      </c>
      <c r="M40" s="85">
        <v>38.261173999999997</v>
      </c>
      <c r="N40" s="85">
        <v>49.812392999999993</v>
      </c>
      <c r="O40" s="85">
        <v>49.812392999999993</v>
      </c>
      <c r="P40" s="85">
        <v>41.431691000000001</v>
      </c>
      <c r="Q40" s="85">
        <v>60.587927000000001</v>
      </c>
      <c r="R40" s="85">
        <v>64.360208</v>
      </c>
      <c r="S40" s="85">
        <v>58.171416999999998</v>
      </c>
      <c r="T40" s="85">
        <v>52.337702</v>
      </c>
      <c r="U40" s="85">
        <v>62.173745000000004</v>
      </c>
      <c r="V40" s="85">
        <v>65.300454999999999</v>
      </c>
      <c r="W40" s="85">
        <v>76.3</v>
      </c>
      <c r="X40" s="85">
        <v>99.599097999999998</v>
      </c>
      <c r="Y40" s="85">
        <v>88.423659999999998</v>
      </c>
      <c r="Z40" s="85">
        <v>74.824592999999993</v>
      </c>
      <c r="AC40" s="114"/>
    </row>
    <row r="41" spans="1:30" x14ac:dyDescent="0.25">
      <c r="A41" s="44" t="s">
        <v>81</v>
      </c>
      <c r="B41" s="85">
        <v>229.05684299999999</v>
      </c>
      <c r="C41" s="85">
        <v>156.149078</v>
      </c>
      <c r="D41" s="85">
        <v>254.20557199999999</v>
      </c>
      <c r="E41" s="85">
        <v>88.696817999999993</v>
      </c>
      <c r="F41" s="85">
        <v>209.59447399999999</v>
      </c>
      <c r="G41" s="85">
        <v>190.46872500000001</v>
      </c>
      <c r="H41" s="85">
        <v>311.15939800000001</v>
      </c>
      <c r="I41" s="85">
        <v>204.89594299999999</v>
      </c>
      <c r="J41" s="85">
        <v>235.188222</v>
      </c>
      <c r="K41" s="85">
        <v>156.233</v>
      </c>
      <c r="L41" s="85">
        <v>286.38047799999998</v>
      </c>
      <c r="M41" s="85">
        <v>96.987340000000003</v>
      </c>
      <c r="N41" s="85">
        <v>250.91837599999999</v>
      </c>
      <c r="O41" s="85">
        <v>250.91837599999999</v>
      </c>
      <c r="P41" s="85">
        <v>66.354513999999995</v>
      </c>
      <c r="Q41" s="85">
        <v>561.91526199999998</v>
      </c>
      <c r="R41" s="85">
        <v>330.072542</v>
      </c>
      <c r="S41" s="85">
        <v>458.89789299999995</v>
      </c>
      <c r="T41" s="85">
        <v>414.64000699999997</v>
      </c>
      <c r="U41" s="85">
        <v>882.06905099999994</v>
      </c>
      <c r="V41" s="85">
        <v>546.11647499999992</v>
      </c>
      <c r="W41" s="85">
        <v>612.971</v>
      </c>
      <c r="X41" s="85">
        <v>484.05524700000001</v>
      </c>
      <c r="Y41" s="85">
        <v>893.90981299999999</v>
      </c>
      <c r="Z41" s="85">
        <v>550.41560800000002</v>
      </c>
      <c r="AC41" s="114"/>
    </row>
    <row r="42" spans="1:30" x14ac:dyDescent="0.25">
      <c r="A42" s="44" t="s">
        <v>82</v>
      </c>
      <c r="B42" s="85">
        <v>0</v>
      </c>
      <c r="C42" s="85">
        <v>0</v>
      </c>
      <c r="D42" s="85">
        <v>0</v>
      </c>
      <c r="E42" s="85">
        <v>0</v>
      </c>
      <c r="F42" s="85">
        <v>0</v>
      </c>
      <c r="G42" s="85">
        <v>14.656197000000001</v>
      </c>
      <c r="H42" s="85">
        <v>11.469732</v>
      </c>
      <c r="I42" s="85">
        <v>4.503889</v>
      </c>
      <c r="J42" s="85">
        <v>26.142178000000001</v>
      </c>
      <c r="K42" s="85">
        <v>29.192</v>
      </c>
      <c r="L42" s="85">
        <v>29.621831999999998</v>
      </c>
      <c r="M42" s="85">
        <v>31.180565999999999</v>
      </c>
      <c r="N42" s="85">
        <v>31.230169999999998</v>
      </c>
      <c r="O42" s="85">
        <v>31.230169999999998</v>
      </c>
      <c r="P42" s="85">
        <v>29.339725999999999</v>
      </c>
      <c r="Q42" s="85">
        <v>31.608732</v>
      </c>
      <c r="R42" s="85">
        <v>31.325748000000001</v>
      </c>
      <c r="S42" s="85">
        <v>39.063591000000002</v>
      </c>
      <c r="T42" s="85">
        <v>36.668500000000002</v>
      </c>
      <c r="U42" s="85">
        <v>43.547995999999998</v>
      </c>
      <c r="V42" s="85">
        <v>59.913892999999995</v>
      </c>
      <c r="W42" s="85">
        <v>72.578000000000003</v>
      </c>
      <c r="X42" s="85">
        <v>73.056612999999999</v>
      </c>
      <c r="Y42" s="85">
        <v>76.347316000000006</v>
      </c>
      <c r="Z42" s="85">
        <v>84.416945999999996</v>
      </c>
      <c r="AC42" s="114"/>
    </row>
    <row r="43" spans="1:30" s="37" customFormat="1" x14ac:dyDescent="0.25">
      <c r="A43" s="44" t="s">
        <v>83</v>
      </c>
      <c r="B43" s="85">
        <v>0</v>
      </c>
      <c r="C43" s="85">
        <v>0</v>
      </c>
      <c r="D43" s="85">
        <v>0</v>
      </c>
      <c r="E43" s="85">
        <v>0</v>
      </c>
      <c r="F43" s="85">
        <v>39.991852000000002</v>
      </c>
      <c r="G43" s="85">
        <v>46.949400999999995</v>
      </c>
      <c r="H43" s="85">
        <v>12.474952</v>
      </c>
      <c r="I43" s="85">
        <v>42.469686000000003</v>
      </c>
      <c r="J43" s="85">
        <v>45.088044000000004</v>
      </c>
      <c r="K43" s="85">
        <v>50.122999999999998</v>
      </c>
      <c r="L43" s="85">
        <v>57.127347</v>
      </c>
      <c r="M43" s="85">
        <v>67.323078999999993</v>
      </c>
      <c r="N43" s="85">
        <v>75.884</v>
      </c>
      <c r="O43" s="85">
        <v>75.884</v>
      </c>
      <c r="P43" s="85">
        <v>107.28074599999999</v>
      </c>
      <c r="Q43" s="85">
        <v>100.20078100000001</v>
      </c>
      <c r="R43" s="85">
        <f>108.493485+1781.456738</f>
        <v>1889.9502230000001</v>
      </c>
      <c r="S43" s="85">
        <v>413.31143500000002</v>
      </c>
      <c r="T43" s="85">
        <v>413.04983099999998</v>
      </c>
      <c r="U43" s="85">
        <v>434.75000799999998</v>
      </c>
      <c r="V43" s="85">
        <v>447.60849000000002</v>
      </c>
      <c r="W43" s="85">
        <v>121.79600000000001</v>
      </c>
      <c r="X43" s="85">
        <v>147.267394</v>
      </c>
      <c r="Y43" s="85">
        <v>824.20748400000002</v>
      </c>
      <c r="Z43" s="85">
        <v>1426.1466909999999</v>
      </c>
      <c r="AA43" s="34"/>
      <c r="AB43" s="34"/>
      <c r="AC43" s="114"/>
      <c r="AD43" s="34"/>
    </row>
    <row r="44" spans="1:30" s="37" customFormat="1" x14ac:dyDescent="0.25">
      <c r="A44" s="44" t="s">
        <v>84</v>
      </c>
      <c r="B44" s="85">
        <v>194.41589199999999</v>
      </c>
      <c r="C44" s="85">
        <v>182.08221499999999</v>
      </c>
      <c r="D44" s="85">
        <v>252.66824</v>
      </c>
      <c r="E44" s="85">
        <v>221.654743</v>
      </c>
      <c r="F44" s="85">
        <v>286.54912000000002</v>
      </c>
      <c r="G44" s="85">
        <v>272.51736700000004</v>
      </c>
      <c r="H44" s="85">
        <f>288.670723+0.1</f>
        <v>288.77072300000003</v>
      </c>
      <c r="I44" s="85">
        <v>305.899385</v>
      </c>
      <c r="J44" s="85">
        <v>440.73027399999995</v>
      </c>
      <c r="K44" s="85">
        <v>479.71199999999999</v>
      </c>
      <c r="L44" s="85">
        <v>545.20454099999995</v>
      </c>
      <c r="M44" s="85">
        <v>440.97954700000003</v>
      </c>
      <c r="N44" s="85">
        <v>784.00400000000002</v>
      </c>
      <c r="O44" s="85">
        <f>784.004-49.038688</f>
        <v>734.96531200000004</v>
      </c>
      <c r="P44" s="85">
        <v>646.51309143644005</v>
      </c>
      <c r="Q44" s="85">
        <v>745.78034356865203</v>
      </c>
      <c r="R44" s="85">
        <v>762.49146449178602</v>
      </c>
      <c r="S44" s="85">
        <v>1263.62136987286</v>
      </c>
      <c r="T44" s="85">
        <v>1219.14411837286</v>
      </c>
      <c r="U44" s="85">
        <v>1438.86227701545</v>
      </c>
      <c r="V44" s="85">
        <v>1440.41100009413</v>
      </c>
      <c r="W44" s="85">
        <v>1525.145</v>
      </c>
      <c r="X44" s="85">
        <v>1549.3096660000001</v>
      </c>
      <c r="Y44" s="85">
        <v>1907.494674</v>
      </c>
      <c r="Z44" s="85">
        <v>1735.358592</v>
      </c>
      <c r="AA44" s="34"/>
      <c r="AB44" s="34"/>
      <c r="AC44" s="114"/>
      <c r="AD44" s="34"/>
    </row>
    <row r="45" spans="1:30" s="37" customFormat="1" x14ac:dyDescent="0.25">
      <c r="A45" s="36" t="s">
        <v>85</v>
      </c>
      <c r="B45" s="80">
        <f t="shared" ref="B45:N45" si="72">+SUM(B39:B44)</f>
        <v>2033.0725669999999</v>
      </c>
      <c r="C45" s="80">
        <f t="shared" si="72"/>
        <v>1341.0748479999997</v>
      </c>
      <c r="D45" s="80">
        <f t="shared" si="72"/>
        <v>2426.870821</v>
      </c>
      <c r="E45" s="80">
        <f t="shared" si="72"/>
        <v>1246.62139</v>
      </c>
      <c r="F45" s="80">
        <f t="shared" si="72"/>
        <v>2343.7929760000002</v>
      </c>
      <c r="G45" s="80">
        <f t="shared" si="72"/>
        <v>1891.6068130000003</v>
      </c>
      <c r="H45" s="80">
        <f t="shared" si="72"/>
        <v>3717.547607</v>
      </c>
      <c r="I45" s="80">
        <f t="shared" si="72"/>
        <v>1867.601504</v>
      </c>
      <c r="J45" s="80">
        <f t="shared" si="72"/>
        <v>3132.7424350000006</v>
      </c>
      <c r="K45" s="80">
        <f t="shared" si="72"/>
        <v>3049.4444800000001</v>
      </c>
      <c r="L45" s="80">
        <f t="shared" si="72"/>
        <v>5660.4411279999995</v>
      </c>
      <c r="M45" s="80">
        <f t="shared" si="72"/>
        <v>2927.2517210000001</v>
      </c>
      <c r="N45" s="80">
        <f t="shared" si="72"/>
        <v>4751.8889390000004</v>
      </c>
      <c r="O45" s="80">
        <f t="shared" ref="O45" si="73">+SUM(O39:O44)</f>
        <v>4702.8502509999998</v>
      </c>
      <c r="P45" s="80">
        <f t="shared" ref="P45" si="74">+SUM(P39:P44)</f>
        <v>4037.8762914364397</v>
      </c>
      <c r="Q45" s="80">
        <f t="shared" ref="Q45" si="75">+SUM(Q39:Q44)</f>
        <v>6841.3370455686518</v>
      </c>
      <c r="R45" s="80">
        <f t="shared" ref="R45" si="76">+SUM(R39:R44)</f>
        <v>6184.2450564917863</v>
      </c>
      <c r="S45" s="80">
        <f t="shared" ref="S45" si="77">+SUM(S39:S44)</f>
        <v>7046.8377268728591</v>
      </c>
      <c r="T45" s="80">
        <f t="shared" ref="T45" si="78">+SUM(T39:T44)</f>
        <v>7080.9525003728604</v>
      </c>
      <c r="U45" s="80">
        <f t="shared" ref="U45" si="79">+SUM(U39:U44)</f>
        <v>11201.398312015452</v>
      </c>
      <c r="V45" s="80">
        <f t="shared" ref="V45" si="80">+SUM(V39:V44)</f>
        <v>7746.3420150941283</v>
      </c>
      <c r="W45" s="80">
        <f t="shared" ref="W45" si="81">+SUM(W39:W44)</f>
        <v>8972.07</v>
      </c>
      <c r="X45" s="80">
        <f>+SUM(X39:X44)</f>
        <v>9634.145708</v>
      </c>
      <c r="Y45" s="80">
        <f t="shared" ref="Y45:Z45" si="82">+SUM(Y39:Y44)</f>
        <v>13296.049255</v>
      </c>
      <c r="Z45" s="80">
        <f t="shared" si="82"/>
        <v>9164.6621380000015</v>
      </c>
      <c r="AA45" s="34"/>
      <c r="AB45" s="34"/>
      <c r="AC45" s="34"/>
      <c r="AD45" s="34"/>
    </row>
    <row r="46" spans="1:30" s="37" customFormat="1" x14ac:dyDescent="0.25">
      <c r="A46" s="36" t="s">
        <v>86</v>
      </c>
      <c r="B46" s="80">
        <f t="shared" ref="B46:N46" si="83">+B45+B38</f>
        <v>2479.8710339999998</v>
      </c>
      <c r="C46" s="80">
        <f t="shared" si="83"/>
        <v>1773.0896689999997</v>
      </c>
      <c r="D46" s="80">
        <f t="shared" si="83"/>
        <v>2916.4704569999999</v>
      </c>
      <c r="E46" s="80">
        <f t="shared" si="83"/>
        <v>1732.502978</v>
      </c>
      <c r="F46" s="80">
        <f t="shared" si="83"/>
        <v>2848.928582</v>
      </c>
      <c r="G46" s="80">
        <f t="shared" si="83"/>
        <v>2473.0550490000005</v>
      </c>
      <c r="H46" s="80">
        <f t="shared" si="83"/>
        <v>4349.7765589999999</v>
      </c>
      <c r="I46" s="80">
        <f t="shared" si="83"/>
        <v>2503.2578869999998</v>
      </c>
      <c r="J46" s="80">
        <f t="shared" si="83"/>
        <v>3593.2225060000005</v>
      </c>
      <c r="K46" s="80">
        <f t="shared" si="83"/>
        <v>3534.43048</v>
      </c>
      <c r="L46" s="80">
        <f t="shared" si="83"/>
        <v>6154.7868319999998</v>
      </c>
      <c r="M46" s="80">
        <f t="shared" si="83"/>
        <v>3426.919621</v>
      </c>
      <c r="N46" s="80">
        <f t="shared" si="83"/>
        <v>5211.4512440000008</v>
      </c>
      <c r="O46" s="80">
        <f t="shared" ref="O46" si="84">+O45+O38</f>
        <v>5219.8817220000001</v>
      </c>
      <c r="P46" s="80">
        <f t="shared" ref="P46" si="85">+P45+P38</f>
        <v>4548.0769264364399</v>
      </c>
      <c r="Q46" s="80">
        <f t="shared" ref="Q46" si="86">+Q45+Q38</f>
        <v>7392.1584074635484</v>
      </c>
      <c r="R46" s="80">
        <f t="shared" ref="R46" si="87">+R45+R38</f>
        <v>6712.0179970835934</v>
      </c>
      <c r="S46" s="80">
        <f t="shared" ref="S46:T46" si="88">+S45+S38</f>
        <v>9153.2492439608304</v>
      </c>
      <c r="T46" s="80">
        <f t="shared" si="88"/>
        <v>9149.7899292308321</v>
      </c>
      <c r="U46" s="80">
        <f t="shared" ref="U46:V46" si="89">+U45+U38</f>
        <v>13305.929973312053</v>
      </c>
      <c r="V46" s="80">
        <f t="shared" si="89"/>
        <v>10065.581165773419</v>
      </c>
      <c r="W46" s="80">
        <f t="shared" ref="W46" si="90">+W45+W38</f>
        <v>12292.905999999999</v>
      </c>
      <c r="X46" s="80">
        <f>+X45+X38</f>
        <v>12818.476522000001</v>
      </c>
      <c r="Y46" s="80">
        <f t="shared" ref="Y46:Z46" si="91">+Y45+Y38</f>
        <v>15753.10893</v>
      </c>
      <c r="Z46" s="80">
        <f t="shared" si="91"/>
        <v>11654.671334000002</v>
      </c>
      <c r="AA46" s="34"/>
      <c r="AB46" s="34"/>
      <c r="AC46" s="34"/>
      <c r="AD46" s="34"/>
    </row>
    <row r="47" spans="1:30" s="37" customFormat="1" x14ac:dyDescent="0.25">
      <c r="A47" s="36" t="s">
        <v>87</v>
      </c>
      <c r="B47" s="80">
        <f t="shared" ref="B47:N47" si="92">+B46+B32</f>
        <v>3045.8690120000001</v>
      </c>
      <c r="C47" s="80">
        <f t="shared" si="92"/>
        <v>2322.9390369999996</v>
      </c>
      <c r="D47" s="80">
        <f t="shared" si="92"/>
        <v>3508.9339309999996</v>
      </c>
      <c r="E47" s="80">
        <f t="shared" si="92"/>
        <v>2290.986163</v>
      </c>
      <c r="F47" s="80">
        <f t="shared" si="92"/>
        <v>3435.237427</v>
      </c>
      <c r="G47" s="80">
        <f t="shared" si="92"/>
        <v>3041.1519430000008</v>
      </c>
      <c r="H47" s="80">
        <f t="shared" si="92"/>
        <v>4933.8163949999998</v>
      </c>
      <c r="I47" s="80">
        <f t="shared" si="92"/>
        <v>3097.3120939999999</v>
      </c>
      <c r="J47" s="80">
        <f t="shared" si="92"/>
        <v>4178.6351540000005</v>
      </c>
      <c r="K47" s="80">
        <f t="shared" si="92"/>
        <v>4195.624065</v>
      </c>
      <c r="L47" s="80">
        <f t="shared" si="92"/>
        <v>7162.5446339999999</v>
      </c>
      <c r="M47" s="80">
        <f t="shared" si="92"/>
        <v>4417.6225860000004</v>
      </c>
      <c r="N47" s="80">
        <f t="shared" si="92"/>
        <v>6314.6261330000007</v>
      </c>
      <c r="O47" s="80">
        <f t="shared" ref="O47" si="93">+O46+O32</f>
        <v>6526.8109279999999</v>
      </c>
      <c r="P47" s="80">
        <f t="shared" ref="P47" si="94">+P46+P32</f>
        <v>5878.2374354364401</v>
      </c>
      <c r="Q47" s="80">
        <f t="shared" ref="Q47" si="95">+Q46+Q32</f>
        <v>8972.9435909999993</v>
      </c>
      <c r="R47" s="80">
        <f t="shared" ref="R47" si="96">+R46+R32</f>
        <v>8170.065439</v>
      </c>
      <c r="S47" s="80">
        <f t="shared" ref="S47:T47" si="97">+S46+S32</f>
        <v>11506.114343000001</v>
      </c>
      <c r="T47" s="80">
        <f t="shared" si="97"/>
        <v>11499.832980000003</v>
      </c>
      <c r="U47" s="80">
        <f t="shared" ref="U47:V47" si="98">+U46+U32</f>
        <v>15984.016050000004</v>
      </c>
      <c r="V47" s="80">
        <f t="shared" si="98"/>
        <v>12762.397188999994</v>
      </c>
      <c r="W47" s="80">
        <f t="shared" ref="W47" si="99">+W46+W32</f>
        <v>14833.258666999998</v>
      </c>
      <c r="X47" s="80">
        <f>+X46+X32</f>
        <v>15448.845947000002</v>
      </c>
      <c r="Y47" s="80">
        <f>+Y46+Y32</f>
        <v>18594.042787999999</v>
      </c>
      <c r="Z47" s="80">
        <f>+Z46+Z32</f>
        <v>14384.005726000003</v>
      </c>
      <c r="AA47" s="34"/>
      <c r="AB47" s="34"/>
      <c r="AC47" s="114"/>
      <c r="AD47" s="34"/>
    </row>
    <row r="48" spans="1:30" s="37" customFormat="1" x14ac:dyDescent="0.25">
      <c r="A48" s="38"/>
      <c r="B48" s="39"/>
      <c r="C48" s="39"/>
      <c r="D48" s="39"/>
      <c r="E48" s="39"/>
      <c r="F48" s="39"/>
      <c r="G48" s="39"/>
      <c r="M48" s="64"/>
      <c r="N48" s="64"/>
      <c r="O48" s="64"/>
      <c r="P48" s="64"/>
      <c r="Q48" s="64"/>
      <c r="R48" s="64"/>
      <c r="S48" s="64"/>
      <c r="T48" s="65"/>
      <c r="U48" s="65"/>
      <c r="V48" s="65"/>
      <c r="W48" s="65"/>
      <c r="X48" s="65"/>
      <c r="Y48" s="65"/>
      <c r="AA48" s="34"/>
      <c r="AB48" s="34"/>
      <c r="AC48" s="34"/>
      <c r="AD48" s="34"/>
    </row>
    <row r="49" spans="1:30" s="37" customFormat="1" x14ac:dyDescent="0.25">
      <c r="A49" s="40"/>
      <c r="B49" s="41"/>
      <c r="C49" s="41"/>
      <c r="D49" s="41"/>
      <c r="E49" s="41"/>
      <c r="F49" s="41"/>
      <c r="G49" s="41"/>
      <c r="H49" s="42"/>
      <c r="I49" s="42"/>
      <c r="J49" s="42"/>
      <c r="K49" s="42"/>
      <c r="L49" s="42"/>
      <c r="M49" s="64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AA49" s="34"/>
      <c r="AB49" s="34"/>
      <c r="AC49" s="34"/>
      <c r="AD49" s="34"/>
    </row>
    <row r="50" spans="1:30" s="37" customFormat="1" x14ac:dyDescent="0.25">
      <c r="A50" s="40"/>
      <c r="B50" s="41"/>
      <c r="C50" s="41"/>
      <c r="D50" s="41"/>
      <c r="E50" s="41"/>
      <c r="F50" s="41"/>
      <c r="G50" s="41"/>
      <c r="H50" s="42"/>
      <c r="I50" s="42"/>
      <c r="J50" s="42"/>
      <c r="K50" s="42"/>
      <c r="L50" s="42"/>
      <c r="M50" s="64"/>
      <c r="N50" s="64"/>
      <c r="O50" s="64"/>
      <c r="P50" s="66"/>
      <c r="Q50" s="66"/>
      <c r="R50" s="66"/>
      <c r="S50" s="66"/>
      <c r="T50" s="66"/>
      <c r="U50" s="66"/>
      <c r="V50" s="66"/>
      <c r="W50" s="66"/>
      <c r="X50" s="66"/>
      <c r="Y50" s="66"/>
      <c r="AA50" s="34"/>
      <c r="AB50" s="34"/>
      <c r="AC50" s="34"/>
      <c r="AD50" s="34"/>
    </row>
    <row r="51" spans="1:30" s="37" customFormat="1" x14ac:dyDescent="0.25">
      <c r="A51" s="40"/>
      <c r="B51" s="41"/>
      <c r="C51" s="41"/>
      <c r="D51" s="41"/>
      <c r="E51" s="41"/>
      <c r="F51" s="41"/>
      <c r="G51" s="41"/>
      <c r="H51" s="42"/>
      <c r="I51" s="42"/>
      <c r="J51" s="42"/>
      <c r="K51" s="42"/>
      <c r="L51" s="42"/>
      <c r="M51" s="64"/>
      <c r="N51" s="64"/>
      <c r="O51" s="64"/>
      <c r="P51" s="66"/>
      <c r="Q51" s="66"/>
      <c r="R51" s="66"/>
      <c r="S51" s="66"/>
      <c r="T51" s="66"/>
      <c r="U51" s="66"/>
      <c r="V51" s="66"/>
      <c r="W51" s="66"/>
      <c r="X51" s="66"/>
      <c r="Y51" s="66"/>
      <c r="AA51" s="34"/>
      <c r="AB51" s="34"/>
      <c r="AC51" s="34"/>
      <c r="AD51" s="34"/>
    </row>
    <row r="52" spans="1:30" s="37" customFormat="1" x14ac:dyDescent="0.25">
      <c r="A52" s="42"/>
      <c r="B52" s="43"/>
      <c r="C52" s="43"/>
      <c r="D52" s="43"/>
      <c r="E52" s="43"/>
      <c r="F52" s="43"/>
      <c r="G52" s="43"/>
      <c r="H52" s="42"/>
      <c r="I52" s="42"/>
      <c r="J52" s="42"/>
      <c r="K52" s="42"/>
      <c r="L52" s="42"/>
      <c r="M52" s="64"/>
      <c r="N52" s="64"/>
      <c r="O52" s="64"/>
      <c r="P52" s="65"/>
      <c r="Q52" s="64"/>
      <c r="R52" s="64"/>
      <c r="S52" s="64"/>
      <c r="T52" s="66"/>
      <c r="U52" s="66"/>
      <c r="V52" s="66"/>
      <c r="W52" s="66"/>
      <c r="X52" s="66"/>
      <c r="Y52" s="66"/>
      <c r="AA52" s="34"/>
      <c r="AB52" s="34"/>
      <c r="AC52" s="34"/>
      <c r="AD52" s="34"/>
    </row>
    <row r="53" spans="1:30" s="37" customFormat="1" x14ac:dyDescent="0.25">
      <c r="A53" s="42"/>
      <c r="B53" s="43"/>
      <c r="C53" s="43"/>
      <c r="D53" s="43"/>
      <c r="E53" s="43"/>
      <c r="F53" s="43"/>
      <c r="G53" s="43"/>
      <c r="H53" s="42"/>
      <c r="I53" s="42"/>
      <c r="J53" s="42"/>
      <c r="K53" s="42"/>
      <c r="L53" s="42"/>
      <c r="M53" s="64"/>
      <c r="N53" s="64"/>
      <c r="O53" s="64"/>
      <c r="P53" s="64"/>
      <c r="Q53" s="64"/>
      <c r="R53" s="64"/>
      <c r="S53" s="64"/>
      <c r="T53" s="67"/>
      <c r="U53" s="67"/>
      <c r="V53" s="67"/>
      <c r="W53" s="67"/>
      <c r="X53" s="67"/>
      <c r="Y53" s="67"/>
    </row>
    <row r="54" spans="1:30" s="37" customFormat="1" x14ac:dyDescent="0.25">
      <c r="A54" s="42"/>
      <c r="B54" s="43"/>
      <c r="C54" s="43"/>
      <c r="D54" s="43"/>
      <c r="E54" s="43"/>
      <c r="F54" s="43"/>
      <c r="G54" s="43"/>
      <c r="H54" s="42"/>
      <c r="I54" s="42"/>
      <c r="J54" s="42"/>
      <c r="K54" s="42"/>
      <c r="L54" s="42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</row>
    <row r="55" spans="1:30" s="37" customFormat="1" x14ac:dyDescent="0.25">
      <c r="A55" s="42"/>
      <c r="B55" s="43"/>
      <c r="C55" s="43"/>
      <c r="D55" s="43"/>
      <c r="E55" s="43"/>
      <c r="F55" s="43"/>
      <c r="G55" s="43"/>
      <c r="H55" s="42"/>
      <c r="I55" s="42"/>
      <c r="J55" s="42"/>
      <c r="K55" s="42"/>
      <c r="L55" s="42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</row>
    <row r="56" spans="1:30" s="37" customFormat="1" x14ac:dyDescent="0.25">
      <c r="A56" s="42"/>
      <c r="B56" s="43"/>
      <c r="C56" s="43"/>
      <c r="D56" s="43"/>
      <c r="E56" s="43"/>
      <c r="F56" s="43"/>
      <c r="G56" s="43"/>
      <c r="H56" s="42"/>
      <c r="I56" s="42"/>
      <c r="J56" s="42"/>
      <c r="K56" s="42"/>
      <c r="L56" s="42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</row>
    <row r="57" spans="1:30" s="37" customFormat="1" x14ac:dyDescent="0.25">
      <c r="A57" s="42"/>
      <c r="B57" s="43"/>
      <c r="C57" s="43"/>
      <c r="D57" s="43"/>
      <c r="E57" s="43"/>
      <c r="F57" s="43"/>
      <c r="G57" s="43"/>
      <c r="H57" s="42"/>
      <c r="I57" s="42"/>
      <c r="J57" s="42"/>
      <c r="K57" s="42"/>
      <c r="L57" s="42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</row>
    <row r="58" spans="1:30" s="37" customFormat="1" x14ac:dyDescent="0.25">
      <c r="A58" s="42"/>
      <c r="B58" s="43"/>
      <c r="C58" s="43"/>
      <c r="D58" s="43"/>
      <c r="E58" s="43"/>
      <c r="F58" s="43"/>
      <c r="G58" s="43"/>
      <c r="H58" s="42"/>
      <c r="I58" s="42"/>
      <c r="J58" s="42"/>
      <c r="K58" s="42"/>
      <c r="L58" s="42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</row>
    <row r="59" spans="1:30" s="37" customFormat="1" x14ac:dyDescent="0.25">
      <c r="A59" s="42"/>
      <c r="B59" s="43"/>
      <c r="C59" s="43"/>
      <c r="D59" s="43"/>
      <c r="E59" s="43"/>
      <c r="F59" s="43"/>
      <c r="G59" s="43"/>
      <c r="H59" s="42"/>
      <c r="I59" s="42"/>
      <c r="J59" s="42"/>
      <c r="K59" s="42"/>
      <c r="L59" s="42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</row>
    <row r="60" spans="1:30" s="37" customForma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1:30" s="37" customFormat="1" x14ac:dyDescent="0.25">
      <c r="A61" s="42"/>
      <c r="B61" s="43"/>
      <c r="C61" s="43"/>
      <c r="D61" s="43"/>
      <c r="E61" s="43"/>
      <c r="F61" s="43"/>
      <c r="G61" s="43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1:30" s="37" customForma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30" s="37" customForma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K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29"/>
  <sheetViews>
    <sheetView workbookViewId="0">
      <pane xSplit="1" topLeftCell="X1" activePane="topRight" state="frozen"/>
      <selection activeCell="N34" sqref="N34"/>
      <selection pane="topRight" activeCell="AD31" sqref="AD31"/>
    </sheetView>
  </sheetViews>
  <sheetFormatPr defaultColWidth="9.28515625" defaultRowHeight="15" x14ac:dyDescent="0.25"/>
  <cols>
    <col min="1" max="1" width="52.28515625" style="14" bestFit="1" customWidth="1"/>
    <col min="2" max="5" width="6.42578125" style="14" bestFit="1" customWidth="1"/>
    <col min="6" max="6" width="5.85546875" style="14" bestFit="1" customWidth="1"/>
    <col min="7" max="10" width="6.42578125" style="14" bestFit="1" customWidth="1"/>
    <col min="11" max="11" width="5.85546875" style="14" bestFit="1" customWidth="1"/>
    <col min="12" max="15" width="6.42578125" style="14" bestFit="1" customWidth="1"/>
    <col min="16" max="16" width="6.140625" style="14" bestFit="1" customWidth="1"/>
    <col min="17" max="17" width="6.42578125" style="14" bestFit="1" customWidth="1"/>
    <col min="18" max="18" width="6.85546875" style="14" bestFit="1" customWidth="1"/>
    <col min="19" max="19" width="7.42578125" style="14" bestFit="1" customWidth="1"/>
    <col min="20" max="21" width="6.85546875" style="14" bestFit="1" customWidth="1"/>
    <col min="22" max="34" width="13" style="14" customWidth="1"/>
    <col min="35" max="35" width="12.85546875" style="75" bestFit="1" customWidth="1"/>
    <col min="36" max="36" width="10.7109375" style="75" customWidth="1"/>
    <col min="37" max="37" width="12.140625" style="75" bestFit="1" customWidth="1"/>
    <col min="38" max="38" width="9.42578125" style="115" bestFit="1" customWidth="1"/>
    <col min="39" max="39" width="11.7109375" style="14" bestFit="1" customWidth="1"/>
    <col min="40" max="16384" width="9.28515625" style="14"/>
  </cols>
  <sheetData>
    <row r="1" spans="1:39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150</v>
      </c>
      <c r="W1" s="7" t="s">
        <v>149</v>
      </c>
      <c r="X1" s="7" t="s">
        <v>148</v>
      </c>
      <c r="Y1" s="7" t="s">
        <v>147</v>
      </c>
      <c r="Z1" s="7">
        <v>2021</v>
      </c>
      <c r="AA1" s="7" t="s">
        <v>146</v>
      </c>
      <c r="AB1" s="7" t="s">
        <v>144</v>
      </c>
      <c r="AC1" s="7" t="s">
        <v>145</v>
      </c>
      <c r="AD1" s="7" t="s">
        <v>17</v>
      </c>
      <c r="AE1" s="7">
        <v>2022</v>
      </c>
      <c r="AF1" s="7" t="s">
        <v>18</v>
      </c>
      <c r="AG1" s="7" t="s">
        <v>151</v>
      </c>
      <c r="AH1" s="7" t="s">
        <v>154</v>
      </c>
    </row>
    <row r="2" spans="1:39" x14ac:dyDescent="0.25">
      <c r="A2" s="2" t="s">
        <v>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9" x14ac:dyDescent="0.25">
      <c r="A3" s="5" t="s">
        <v>37</v>
      </c>
      <c r="B3" s="87">
        <v>-26.773</v>
      </c>
      <c r="C3" s="87">
        <v>23.817</v>
      </c>
      <c r="D3" s="87">
        <v>-63.390339000000125</v>
      </c>
      <c r="E3" s="87">
        <v>12.673335000000021</v>
      </c>
      <c r="F3" s="87">
        <f>+SUM(B3:E3)</f>
        <v>-53.673004000000105</v>
      </c>
      <c r="G3" s="87">
        <v>-18.190341000000089</v>
      </c>
      <c r="H3" s="87">
        <v>64.742354000000518</v>
      </c>
      <c r="I3" s="87">
        <v>-34.808232000000835</v>
      </c>
      <c r="J3" s="87">
        <v>42.028726000001058</v>
      </c>
      <c r="K3" s="87">
        <f>+SUM(G3:J3)</f>
        <v>53.772507000000651</v>
      </c>
      <c r="L3" s="87">
        <v>-9.5709999999999997</v>
      </c>
      <c r="M3" s="87">
        <v>59.158000000000001</v>
      </c>
      <c r="N3" s="87">
        <v>-8.1876499999999997</v>
      </c>
      <c r="O3" s="87">
        <v>-31.81007800000117</v>
      </c>
      <c r="P3" s="87">
        <f>+SUM(L3:O3)</f>
        <v>9.5892719999988358</v>
      </c>
      <c r="Q3" s="87">
        <f>-41.464</f>
        <v>-41.463999999999999</v>
      </c>
      <c r="R3" s="87">
        <v>131.80854700000103</v>
      </c>
      <c r="S3" s="87">
        <v>-22.728339000001185</v>
      </c>
      <c r="T3" s="87">
        <v>126.035</v>
      </c>
      <c r="U3" s="87">
        <f>+SUM(Q3:T3)</f>
        <v>193.65120799999983</v>
      </c>
      <c r="V3" s="87">
        <v>51.653979999999997</v>
      </c>
      <c r="W3" s="87">
        <v>179.94882286778801</v>
      </c>
      <c r="X3" s="87">
        <v>-139.34495592313399</v>
      </c>
      <c r="Y3" s="87">
        <v>199.514838618927</v>
      </c>
      <c r="Z3" s="87">
        <f>Y3+X3+W3+V3</f>
        <v>291.77268556358104</v>
      </c>
      <c r="AA3" s="87">
        <v>79.206403499999993</v>
      </c>
      <c r="AB3" s="87">
        <v>37.0127383574115</v>
      </c>
      <c r="AC3" s="87">
        <v>-113.889780078686</v>
      </c>
      <c r="AD3" s="87">
        <v>63.15</v>
      </c>
      <c r="AE3" s="87">
        <f t="shared" ref="AE3:AE8" si="0">AD3+AC3+AB3+AA3</f>
        <v>65.47936177872549</v>
      </c>
      <c r="AF3" s="87">
        <v>-110.34674099999999</v>
      </c>
      <c r="AG3" s="87">
        <v>91.541918999999993</v>
      </c>
      <c r="AH3" s="87">
        <v>-16.429269999999999</v>
      </c>
      <c r="AM3" s="108"/>
    </row>
    <row r="4" spans="1:39" x14ac:dyDescent="0.25">
      <c r="A4" s="5" t="s">
        <v>89</v>
      </c>
      <c r="B4" s="87">
        <v>-9.4600000000000009</v>
      </c>
      <c r="C4" s="87">
        <v>-1.3939999999999999</v>
      </c>
      <c r="D4" s="87">
        <v>-3.2742834586633998</v>
      </c>
      <c r="E4" s="87">
        <v>2.2591209723187005</v>
      </c>
      <c r="F4" s="87">
        <f t="shared" ref="F4:F9" si="1">+SUM(B4:E4)</f>
        <v>-11.869162486344699</v>
      </c>
      <c r="G4" s="87">
        <v>-6.5949600774060002</v>
      </c>
      <c r="H4" s="87">
        <v>-6.4071765321237413</v>
      </c>
      <c r="I4" s="87">
        <v>-3.9083727736504006</v>
      </c>
      <c r="J4" s="87">
        <v>-6.7144033609968394</v>
      </c>
      <c r="K4" s="87">
        <f t="shared" ref="K4:K8" si="2">+SUM(G4:J4)</f>
        <v>-23.624912744176982</v>
      </c>
      <c r="L4" s="87">
        <v>-8.3180096388900004</v>
      </c>
      <c r="M4" s="87">
        <v>-2.5539999999999998</v>
      </c>
      <c r="N4" s="87">
        <v>-3.3046399999999996</v>
      </c>
      <c r="O4" s="87">
        <v>-16.318660000000001</v>
      </c>
      <c r="P4" s="87">
        <f t="shared" ref="P4:P8" si="3">+SUM(L4:O4)</f>
        <v>-30.495309638889999</v>
      </c>
      <c r="Q4" s="87">
        <f>-10.233</f>
        <v>-10.233000000000001</v>
      </c>
      <c r="R4" s="87">
        <v>-5.1379999999999999</v>
      </c>
      <c r="S4" s="87">
        <v>-5.3346468472197701</v>
      </c>
      <c r="T4" s="87">
        <v>-13.798259938733176</v>
      </c>
      <c r="U4" s="87">
        <f t="shared" ref="U4:U8" si="4">+SUM(Q4:T4)</f>
        <v>-34.50390678595295</v>
      </c>
      <c r="V4" s="87">
        <v>-15.407697309629583</v>
      </c>
      <c r="W4" s="87">
        <v>-9.83986178048103</v>
      </c>
      <c r="X4" s="87">
        <v>-27.08205890988939</v>
      </c>
      <c r="Y4" s="87">
        <v>-19.773799</v>
      </c>
      <c r="Z4" s="87">
        <f>V4+W4+X4+Y4</f>
        <v>-72.103417000000007</v>
      </c>
      <c r="AA4" s="87">
        <v>-38.126992999999999</v>
      </c>
      <c r="AB4" s="87">
        <v>-34.036048999999998</v>
      </c>
      <c r="AC4" s="87">
        <v>-20.992997000000003</v>
      </c>
      <c r="AD4" s="87">
        <v>-24.707000000000001</v>
      </c>
      <c r="AE4" s="87">
        <f t="shared" si="0"/>
        <v>-117.863039</v>
      </c>
      <c r="AF4" s="87">
        <v>-25.806781999999998</v>
      </c>
      <c r="AG4" s="87">
        <v>-39.872393999999993</v>
      </c>
      <c r="AH4" s="87">
        <v>-17.571173000000009</v>
      </c>
      <c r="AM4" s="108"/>
    </row>
    <row r="5" spans="1:39" x14ac:dyDescent="0.25">
      <c r="A5" s="5" t="s">
        <v>90</v>
      </c>
      <c r="B5" s="87">
        <v>15.276</v>
      </c>
      <c r="C5" s="87">
        <v>17.109000000000002</v>
      </c>
      <c r="D5" s="87">
        <v>16.178331999999997</v>
      </c>
      <c r="E5" s="87">
        <v>23.120156999999999</v>
      </c>
      <c r="F5" s="87">
        <f t="shared" si="1"/>
        <v>71.683489000000009</v>
      </c>
      <c r="G5" s="87">
        <v>17.710978999999998</v>
      </c>
      <c r="H5" s="87">
        <v>18.456309000000001</v>
      </c>
      <c r="I5" s="87">
        <v>19.450576999999999</v>
      </c>
      <c r="J5" s="87">
        <v>20.860913000000007</v>
      </c>
      <c r="K5" s="87">
        <f t="shared" si="2"/>
        <v>76.478778000000005</v>
      </c>
      <c r="L5" s="87">
        <v>26.437000000000001</v>
      </c>
      <c r="M5" s="87">
        <v>28.934000000000001</v>
      </c>
      <c r="N5" s="87">
        <v>27.943073999999992</v>
      </c>
      <c r="O5" s="87">
        <v>89.554411999999999</v>
      </c>
      <c r="P5" s="87">
        <f t="shared" si="3"/>
        <v>172.86848599999999</v>
      </c>
      <c r="Q5" s="87">
        <v>32.628</v>
      </c>
      <c r="R5" s="87">
        <v>34.608330999999993</v>
      </c>
      <c r="S5" s="87">
        <v>35.873249000000008</v>
      </c>
      <c r="T5" s="87">
        <v>37.191717000000004</v>
      </c>
      <c r="U5" s="87">
        <f t="shared" si="4"/>
        <v>140.30129700000001</v>
      </c>
      <c r="V5" s="87">
        <v>36.084908000000006</v>
      </c>
      <c r="W5" s="87">
        <v>39.770237999999992</v>
      </c>
      <c r="X5" s="87">
        <v>41.349272000000013</v>
      </c>
      <c r="Y5" s="87">
        <v>57.338333999999975</v>
      </c>
      <c r="Z5" s="87">
        <f>V5+W5+X5+Y5</f>
        <v>174.54275199999998</v>
      </c>
      <c r="AA5" s="87">
        <v>68.702055999999999</v>
      </c>
      <c r="AB5" s="87">
        <v>74.143286000000003</v>
      </c>
      <c r="AC5" s="87">
        <v>72.567044999999979</v>
      </c>
      <c r="AD5" s="87">
        <v>118.932</v>
      </c>
      <c r="AE5" s="87">
        <f t="shared" si="0"/>
        <v>334.34438699999998</v>
      </c>
      <c r="AF5" s="87">
        <v>81.492452</v>
      </c>
      <c r="AG5" s="87">
        <v>79.419706000000005</v>
      </c>
      <c r="AH5" s="87">
        <v>65.678516000000002</v>
      </c>
      <c r="AM5" s="108"/>
    </row>
    <row r="6" spans="1:39" x14ac:dyDescent="0.25">
      <c r="A6" s="5" t="s">
        <v>91</v>
      </c>
      <c r="B6" s="87">
        <v>12.266999999999999</v>
      </c>
      <c r="C6" s="87">
        <v>15.081</v>
      </c>
      <c r="D6" s="87">
        <v>12.352959999999996</v>
      </c>
      <c r="E6" s="87">
        <v>10.943845000000001</v>
      </c>
      <c r="F6" s="87">
        <f t="shared" si="1"/>
        <v>50.644804999999998</v>
      </c>
      <c r="G6" s="87">
        <v>8.8188279999999999</v>
      </c>
      <c r="H6" s="87">
        <v>8.8011130000000026</v>
      </c>
      <c r="I6" s="87">
        <v>9.7538719999999959</v>
      </c>
      <c r="J6" s="87">
        <v>7.8389609999999994</v>
      </c>
      <c r="K6" s="87">
        <f t="shared" si="2"/>
        <v>35.212773999999996</v>
      </c>
      <c r="L6" s="87">
        <v>11.824999999999999</v>
      </c>
      <c r="M6" s="87">
        <v>11.861000000000001</v>
      </c>
      <c r="N6" s="87">
        <v>11.552894</v>
      </c>
      <c r="O6" s="87">
        <v>12.883257999999994</v>
      </c>
      <c r="P6" s="87">
        <f t="shared" si="3"/>
        <v>48.122152</v>
      </c>
      <c r="Q6" s="87">
        <v>12.352</v>
      </c>
      <c r="R6" s="87">
        <v>4.6663809999999977</v>
      </c>
      <c r="S6" s="87">
        <v>7.4883680000000057</v>
      </c>
      <c r="T6" s="87">
        <v>8.1679999999999993</v>
      </c>
      <c r="U6" s="87">
        <f t="shared" si="4"/>
        <v>32.674749000000006</v>
      </c>
      <c r="V6" s="87">
        <v>7.7167240000000001</v>
      </c>
      <c r="W6" s="87">
        <v>8.0738899999999969</v>
      </c>
      <c r="X6" s="87">
        <v>22.774846</v>
      </c>
      <c r="Y6" s="87">
        <v>30.553906999999999</v>
      </c>
      <c r="Z6" s="87">
        <f>V6+W6+X6+Y6</f>
        <v>69.119366999999997</v>
      </c>
      <c r="AA6" s="87">
        <v>31.687726000000001</v>
      </c>
      <c r="AB6" s="87">
        <v>36.619347000000005</v>
      </c>
      <c r="AC6" s="87">
        <v>40.820934999999999</v>
      </c>
      <c r="AD6" s="87">
        <v>55.351999999999997</v>
      </c>
      <c r="AE6" s="87">
        <f t="shared" si="0"/>
        <v>164.480008</v>
      </c>
      <c r="AF6" s="87">
        <v>52.973262999999996</v>
      </c>
      <c r="AG6" s="87">
        <v>62.372441999999992</v>
      </c>
      <c r="AH6" s="87">
        <v>61.315589999999993</v>
      </c>
      <c r="AM6" s="108"/>
    </row>
    <row r="7" spans="1:39" x14ac:dyDescent="0.25">
      <c r="A7" s="5" t="s">
        <v>92</v>
      </c>
      <c r="B7" s="87">
        <v>-80.058999999999997</v>
      </c>
      <c r="C7" s="87">
        <v>-63.86</v>
      </c>
      <c r="D7" s="87">
        <v>-11.11229722999985</v>
      </c>
      <c r="E7" s="87">
        <v>188.09521699999988</v>
      </c>
      <c r="F7" s="87">
        <f t="shared" si="1"/>
        <v>33.063919770000041</v>
      </c>
      <c r="G7" s="87">
        <v>-184.07226999999989</v>
      </c>
      <c r="H7" s="87">
        <v>-127.09537399999984</v>
      </c>
      <c r="I7" s="87">
        <v>112.39400499999977</v>
      </c>
      <c r="J7" s="87">
        <v>90.840901000000102</v>
      </c>
      <c r="K7" s="87">
        <f>+SUM(G7:J7)</f>
        <v>-107.93273799999984</v>
      </c>
      <c r="L7" s="87">
        <v>-239.542</v>
      </c>
      <c r="M7" s="87">
        <v>534.56700000000001</v>
      </c>
      <c r="N7" s="87">
        <v>-611.30600000000004</v>
      </c>
      <c r="O7" s="87">
        <v>207.23939799999982</v>
      </c>
      <c r="P7" s="87">
        <f>+SUM(L7:O7)</f>
        <v>-109.04160200000024</v>
      </c>
      <c r="Q7" s="87">
        <v>98.734999999999999</v>
      </c>
      <c r="R7" s="87">
        <v>760.45777699999974</v>
      </c>
      <c r="S7" s="87">
        <v>-942.39180499999918</v>
      </c>
      <c r="T7" s="87">
        <v>447.25799999999998</v>
      </c>
      <c r="U7" s="87">
        <f t="shared" si="4"/>
        <v>364.05897200000055</v>
      </c>
      <c r="V7" s="87">
        <v>-185.56725799999992</v>
      </c>
      <c r="W7" s="87">
        <v>141.27099999999999</v>
      </c>
      <c r="X7" s="87">
        <v>-280.35350400000067</v>
      </c>
      <c r="Y7" s="87">
        <v>367.73745499999961</v>
      </c>
      <c r="Z7" s="87">
        <f>V7+W7+X7+Y7</f>
        <v>43.087692999999035</v>
      </c>
      <c r="AA7" s="87">
        <v>-240.80226299999933</v>
      </c>
      <c r="AB7" s="87">
        <v>294.7417580000004</v>
      </c>
      <c r="AC7" s="87">
        <v>-595.56441200000143</v>
      </c>
      <c r="AD7" s="87">
        <v>209.023</v>
      </c>
      <c r="AE7" s="87">
        <f t="shared" si="0"/>
        <v>-332.6019170000003</v>
      </c>
      <c r="AF7" s="87">
        <v>661.34967800000072</v>
      </c>
      <c r="AG7" s="87">
        <v>-472.05728199999999</v>
      </c>
      <c r="AH7" s="87">
        <v>-1251.4568410000008</v>
      </c>
      <c r="AM7" s="108"/>
    </row>
    <row r="8" spans="1:39" x14ac:dyDescent="0.25">
      <c r="A8" s="5" t="s">
        <v>93</v>
      </c>
      <c r="B8" s="87">
        <v>-50.351999999999997</v>
      </c>
      <c r="C8" s="87">
        <v>161.56100000000001</v>
      </c>
      <c r="D8" s="87">
        <v>-160.74314496842047</v>
      </c>
      <c r="E8" s="87">
        <v>112.54200492989847</v>
      </c>
      <c r="F8" s="87">
        <f t="shared" si="1"/>
        <v>63.007859961478005</v>
      </c>
      <c r="G8" s="87">
        <v>-68.867391356148772</v>
      </c>
      <c r="H8" s="87">
        <v>155.70653951741423</v>
      </c>
      <c r="I8" s="87">
        <v>-204.47062190857119</v>
      </c>
      <c r="J8" s="87">
        <v>198.47077678910853</v>
      </c>
      <c r="K8" s="87">
        <f t="shared" si="2"/>
        <v>80.839303041802793</v>
      </c>
      <c r="L8" s="87">
        <v>-18.939</v>
      </c>
      <c r="M8" s="87">
        <v>42.576999999999998</v>
      </c>
      <c r="N8" s="87">
        <v>-56.790802999999997</v>
      </c>
      <c r="O8" s="87">
        <v>133.09</v>
      </c>
      <c r="P8" s="87">
        <f t="shared" si="3"/>
        <v>99.937196999999998</v>
      </c>
      <c r="Q8" s="87">
        <v>24.736999999999998</v>
      </c>
      <c r="R8" s="87">
        <v>163.59800000000001</v>
      </c>
      <c r="S8" s="87">
        <v>-313.44389999999999</v>
      </c>
      <c r="T8" s="87">
        <v>370.55500000000001</v>
      </c>
      <c r="U8" s="87">
        <f t="shared" si="4"/>
        <v>245.44610000000003</v>
      </c>
      <c r="V8" s="87">
        <v>-295.49797999999998</v>
      </c>
      <c r="W8" s="87">
        <v>270.690177132212</v>
      </c>
      <c r="X8" s="87">
        <v>-161.17304407686601</v>
      </c>
      <c r="Y8" s="87">
        <v>-294.68283861892701</v>
      </c>
      <c r="Z8" s="87">
        <f>Y8+X8+W8+V8</f>
        <v>-480.663685563581</v>
      </c>
      <c r="AA8" s="87">
        <v>-228.47240350000001</v>
      </c>
      <c r="AB8" s="87">
        <v>40.278261642588497</v>
      </c>
      <c r="AC8" s="87">
        <v>120.091780078686</v>
      </c>
      <c r="AD8" s="87">
        <v>56.686999999999998</v>
      </c>
      <c r="AE8" s="87">
        <f t="shared" si="0"/>
        <v>-11.415361778725526</v>
      </c>
      <c r="AF8" s="87">
        <v>-590.55671671104994</v>
      </c>
      <c r="AG8" s="87">
        <v>436.93141194533899</v>
      </c>
      <c r="AH8" s="87">
        <v>203.54794849406602</v>
      </c>
      <c r="AM8" s="108"/>
    </row>
    <row r="9" spans="1:39" x14ac:dyDescent="0.25">
      <c r="A9" s="6" t="s">
        <v>94</v>
      </c>
      <c r="B9" s="88">
        <v>-139.1</v>
      </c>
      <c r="C9" s="88">
        <v>152.31399999999999</v>
      </c>
      <c r="D9" s="88">
        <v>-209.98877265708387</v>
      </c>
      <c r="E9" s="88">
        <v>349.63367990221707</v>
      </c>
      <c r="F9" s="88">
        <f t="shared" si="1"/>
        <v>152.8589072451332</v>
      </c>
      <c r="G9" s="88">
        <v>-251.19515543355479</v>
      </c>
      <c r="H9" s="88">
        <v>114.20376498529119</v>
      </c>
      <c r="I9" s="88">
        <v>-101.58877268222265</v>
      </c>
      <c r="J9" s="88">
        <v>353.3258744281128</v>
      </c>
      <c r="K9" s="88">
        <f>+SUM(G9:J9)</f>
        <v>114.74571129762654</v>
      </c>
      <c r="L9" s="88">
        <v>-238.10800963889</v>
      </c>
      <c r="M9" s="88">
        <f>+SUM(M3:M8)</f>
        <v>674.54300000000001</v>
      </c>
      <c r="N9" s="88">
        <f>+SUM(N3:N8)</f>
        <v>-640.09312499999999</v>
      </c>
      <c r="O9" s="88">
        <f>+SUM(O3:O8)</f>
        <v>394.63832999999863</v>
      </c>
      <c r="P9" s="88">
        <f>+SUM(L9:O9)</f>
        <v>190.98019536110866</v>
      </c>
      <c r="Q9" s="88">
        <f t="shared" ref="Q9:Y9" si="5">+SUM(Q3:Q8)</f>
        <v>116.755</v>
      </c>
      <c r="R9" s="88">
        <f t="shared" si="5"/>
        <v>1090.0010360000008</v>
      </c>
      <c r="S9" s="88">
        <f t="shared" si="5"/>
        <v>-1240.5370738472202</v>
      </c>
      <c r="T9" s="88">
        <f t="shared" si="5"/>
        <v>975.40945706126672</v>
      </c>
      <c r="U9" s="88">
        <f t="shared" si="5"/>
        <v>941.62841921404754</v>
      </c>
      <c r="V9" s="88">
        <f t="shared" si="5"/>
        <v>-401.01732330962949</v>
      </c>
      <c r="W9" s="88">
        <f t="shared" si="5"/>
        <v>629.91426621951905</v>
      </c>
      <c r="X9" s="88">
        <f t="shared" si="5"/>
        <v>-543.82944490989007</v>
      </c>
      <c r="Y9" s="88">
        <f t="shared" si="5"/>
        <v>340.68789699999957</v>
      </c>
      <c r="Z9" s="88">
        <f>+SUM(Z3:Z8)</f>
        <v>25.755394999999055</v>
      </c>
      <c r="AA9" s="88">
        <f t="shared" ref="AA9" si="6">+SUM(AA3:AA8)</f>
        <v>-327.80547399999932</v>
      </c>
      <c r="AB9" s="88">
        <f t="shared" ref="AB9" si="7">+SUM(AB3:AB8)</f>
        <v>448.7593420000004</v>
      </c>
      <c r="AC9" s="88">
        <f t="shared" ref="AC9" si="8">+SUM(AC3:AC8)</f>
        <v>-496.96742900000146</v>
      </c>
      <c r="AD9" s="88">
        <f t="shared" ref="AD9" si="9">+SUM(AD3:AD8)</f>
        <v>478.43700000000001</v>
      </c>
      <c r="AE9" s="88">
        <f t="shared" ref="AE9" si="10">+SUM(AE3:AE8)</f>
        <v>102.42343899999963</v>
      </c>
      <c r="AF9" s="88">
        <f>+SUM(AF3:AF8)</f>
        <v>69.10515328895076</v>
      </c>
      <c r="AG9" s="88">
        <f>+SUM(AG3:AG8)</f>
        <v>158.33580294533903</v>
      </c>
      <c r="AH9" s="88">
        <f>+SUM(AH3:AH8)</f>
        <v>-954.9152295059348</v>
      </c>
    </row>
    <row r="10" spans="1:39" x14ac:dyDescent="0.25">
      <c r="A10" s="2" t="s">
        <v>95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</row>
    <row r="11" spans="1:39" x14ac:dyDescent="0.25">
      <c r="A11" s="5" t="s">
        <v>96</v>
      </c>
      <c r="B11" s="87">
        <v>-10.129</v>
      </c>
      <c r="C11" s="87">
        <v>-14.48</v>
      </c>
      <c r="D11" s="87">
        <v>-11.4005620146949</v>
      </c>
      <c r="E11" s="87">
        <v>-37.506563564103601</v>
      </c>
      <c r="F11" s="87">
        <v>-73.516125578798494</v>
      </c>
      <c r="G11" s="87">
        <v>-21.42848560327576</v>
      </c>
      <c r="H11" s="87">
        <v>-18.590604001986605</v>
      </c>
      <c r="I11" s="87">
        <v>-14.193175478738242</v>
      </c>
      <c r="J11" s="87">
        <v>-15.297700359626091</v>
      </c>
      <c r="K11" s="87">
        <v>-69.509965443626697</v>
      </c>
      <c r="L11" s="87">
        <v>-19.399999999999999</v>
      </c>
      <c r="M11" s="87">
        <v>-22.5</v>
      </c>
      <c r="N11" s="87">
        <v>-12.3</v>
      </c>
      <c r="O11" s="90">
        <v>-30.966999999999999</v>
      </c>
      <c r="P11" s="87">
        <f t="shared" ref="P11" si="11">+SUM(L11:O11)</f>
        <v>-85.167000000000002</v>
      </c>
      <c r="Q11" s="87">
        <v>-18.734000000000002</v>
      </c>
      <c r="R11" s="87">
        <v>-28.810051999999999</v>
      </c>
      <c r="S11" s="87">
        <v>-17.686581381471559</v>
      </c>
      <c r="T11" s="87">
        <v>-28.744800000000001</v>
      </c>
      <c r="U11" s="87">
        <f t="shared" ref="U11" si="12">+SUM(Q11:T11)</f>
        <v>-93.975433381471561</v>
      </c>
      <c r="V11" s="87">
        <v>-13.545541682520724</v>
      </c>
      <c r="W11" s="87">
        <v>-21.504000000000001</v>
      </c>
      <c r="X11" s="87">
        <v>-18.23</v>
      </c>
      <c r="Y11" s="87">
        <v>-29.528010999999992</v>
      </c>
      <c r="Z11" s="87">
        <f>V11+W11+X11+Y11</f>
        <v>-82.807552682520722</v>
      </c>
      <c r="AA11" s="87">
        <v>-23.639821999999999</v>
      </c>
      <c r="AB11" s="87">
        <v>-35.677358999999996</v>
      </c>
      <c r="AC11" s="87">
        <v>-35.023000000000003</v>
      </c>
      <c r="AD11" s="87">
        <v>-47.988</v>
      </c>
      <c r="AE11" s="87">
        <f>AD11+AC11+AB11+AA11</f>
        <v>-142.328181</v>
      </c>
      <c r="AF11" s="87">
        <v>-33.795612999999996</v>
      </c>
      <c r="AG11" s="87">
        <v>-39.274830000000001</v>
      </c>
      <c r="AH11" s="87">
        <v>-32.278632999999999</v>
      </c>
      <c r="AM11" s="108"/>
    </row>
    <row r="12" spans="1:39" x14ac:dyDescent="0.25">
      <c r="A12" s="5" t="s">
        <v>97</v>
      </c>
      <c r="B12" s="91">
        <v>0</v>
      </c>
      <c r="C12" s="91">
        <v>0</v>
      </c>
      <c r="D12" s="91">
        <v>0</v>
      </c>
      <c r="E12" s="91">
        <v>0.378</v>
      </c>
      <c r="F12" s="91">
        <f t="shared" ref="F12:F13" si="13">+SUM(B12:E12)</f>
        <v>0.378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1">
        <v>-122.575</v>
      </c>
      <c r="X12" s="91">
        <v>-36.014953000000006</v>
      </c>
      <c r="Y12" s="91">
        <v>-2319.3099764872995</v>
      </c>
      <c r="Z12" s="91">
        <f>V12+W12+X12+Y12</f>
        <v>-2477.8999294872997</v>
      </c>
      <c r="AA12" s="91">
        <v>0</v>
      </c>
      <c r="AB12" s="91">
        <v>-9.4002999999999997</v>
      </c>
      <c r="AC12" s="91">
        <v>-11.347</v>
      </c>
      <c r="AD12" s="91">
        <f>-36.43-25.75</f>
        <v>-62.18</v>
      </c>
      <c r="AE12" s="91">
        <f>AD12+AC12+AB12+AA12</f>
        <v>-82.927300000000002</v>
      </c>
      <c r="AF12" s="91">
        <v>0</v>
      </c>
      <c r="AG12" s="91">
        <v>-31.520875851408</v>
      </c>
      <c r="AH12" s="91">
        <v>0.26071915591200012</v>
      </c>
      <c r="AM12" s="108"/>
    </row>
    <row r="13" spans="1:39" x14ac:dyDescent="0.25">
      <c r="A13" s="6" t="s">
        <v>98</v>
      </c>
      <c r="B13" s="88">
        <v>-10.129</v>
      </c>
      <c r="C13" s="88">
        <v>-14.48</v>
      </c>
      <c r="D13" s="88">
        <v>-11.4005620146949</v>
      </c>
      <c r="E13" s="88">
        <v>-37.506563564103601</v>
      </c>
      <c r="F13" s="88">
        <f t="shared" si="13"/>
        <v>-73.516125578798494</v>
      </c>
      <c r="G13" s="88">
        <v>-21.42848560327576</v>
      </c>
      <c r="H13" s="88">
        <v>-18.590604001986605</v>
      </c>
      <c r="I13" s="88">
        <v>-14.193175478738242</v>
      </c>
      <c r="J13" s="88">
        <v>-15.297700359626091</v>
      </c>
      <c r="K13" s="88">
        <f t="shared" ref="K13" si="14">+SUM(G13:J13)</f>
        <v>-69.509965443626697</v>
      </c>
      <c r="L13" s="88">
        <f t="shared" ref="L13:N13" si="15">+SUM(L11:L12)</f>
        <v>-19.399999999999999</v>
      </c>
      <c r="M13" s="88">
        <f t="shared" si="15"/>
        <v>-22.5</v>
      </c>
      <c r="N13" s="88">
        <f t="shared" si="15"/>
        <v>-12.3</v>
      </c>
      <c r="O13" s="88">
        <f>+SUM(O11:O12)</f>
        <v>-30.966999999999999</v>
      </c>
      <c r="P13" s="88">
        <f t="shared" ref="P13" si="16">+SUM(L13:O13)</f>
        <v>-85.167000000000002</v>
      </c>
      <c r="Q13" s="88">
        <f t="shared" ref="Q13:U13" si="17">+SUM(Q11:Q12)</f>
        <v>-18.734000000000002</v>
      </c>
      <c r="R13" s="88">
        <f t="shared" si="17"/>
        <v>-28.810051999999999</v>
      </c>
      <c r="S13" s="88">
        <f t="shared" si="17"/>
        <v>-17.686581381471559</v>
      </c>
      <c r="T13" s="88">
        <f t="shared" si="17"/>
        <v>-28.744800000000001</v>
      </c>
      <c r="U13" s="88">
        <f t="shared" si="17"/>
        <v>-93.975433381471561</v>
      </c>
      <c r="V13" s="88">
        <f t="shared" ref="V13" si="18">+SUM(V11:V12)</f>
        <v>-13.545541682520724</v>
      </c>
      <c r="W13" s="88">
        <f t="shared" ref="W13" si="19">+SUM(W11:W12)</f>
        <v>-144.07900000000001</v>
      </c>
      <c r="X13" s="88">
        <f t="shared" ref="X13" si="20">+SUM(X11:X12)</f>
        <v>-54.24495300000001</v>
      </c>
      <c r="Y13" s="88">
        <f t="shared" ref="Y13" si="21">+SUM(Y11:Y12)</f>
        <v>-2348.8379874872994</v>
      </c>
      <c r="Z13" s="88">
        <f t="shared" ref="Z13" si="22">+SUM(Z11:Z12)</f>
        <v>-2560.7074821698202</v>
      </c>
      <c r="AA13" s="88">
        <f t="shared" ref="AA13" si="23">+SUM(AA11:AA12)</f>
        <v>-23.639821999999999</v>
      </c>
      <c r="AB13" s="88">
        <f t="shared" ref="AB13" si="24">+SUM(AB11:AB12)</f>
        <v>-45.077658999999997</v>
      </c>
      <c r="AC13" s="88">
        <f t="shared" ref="AC13" si="25">+SUM(AC11:AC12)</f>
        <v>-46.370000000000005</v>
      </c>
      <c r="AD13" s="88">
        <f t="shared" ref="AD13" si="26">+SUM(AD11:AD12)</f>
        <v>-110.16800000000001</v>
      </c>
      <c r="AE13" s="88">
        <f t="shared" ref="AE13:AF13" si="27">+SUM(AE11:AE12)</f>
        <v>-225.255481</v>
      </c>
      <c r="AF13" s="88">
        <f t="shared" si="27"/>
        <v>-33.795612999999996</v>
      </c>
      <c r="AG13" s="88">
        <f t="shared" ref="AG13:AH13" si="28">+SUM(AG11:AG12)</f>
        <v>-70.795705851408002</v>
      </c>
      <c r="AH13" s="88">
        <f t="shared" si="28"/>
        <v>-32.017913844088</v>
      </c>
    </row>
    <row r="14" spans="1:39" x14ac:dyDescent="0.25">
      <c r="A14" s="2" t="s">
        <v>99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</row>
    <row r="15" spans="1:39" x14ac:dyDescent="0.25">
      <c r="A15" s="5" t="s">
        <v>100</v>
      </c>
      <c r="B15" s="87">
        <v>-12.72</v>
      </c>
      <c r="C15" s="87">
        <v>-14.912000000000001</v>
      </c>
      <c r="D15" s="87">
        <v>-13.647540374490395</v>
      </c>
      <c r="E15" s="87">
        <v>-15.702489210709107</v>
      </c>
      <c r="F15" s="87">
        <f>+SUM(B15:E15)</f>
        <v>-56.982029585199498</v>
      </c>
      <c r="G15" s="87">
        <v>-9.7701350997299095</v>
      </c>
      <c r="H15" s="87">
        <v>-9.982102677233982</v>
      </c>
      <c r="I15" s="87">
        <v>-11.887595196836701</v>
      </c>
      <c r="J15" s="87">
        <v>-9.0691675600378581</v>
      </c>
      <c r="K15" s="87">
        <f>+SUM(G15:J15)</f>
        <v>-40.709000533838449</v>
      </c>
      <c r="L15" s="87">
        <v>-8.2749041473577094</v>
      </c>
      <c r="M15" s="87">
        <v>-8.4220000000000006</v>
      </c>
      <c r="N15" s="87">
        <v>-11.83052</v>
      </c>
      <c r="O15" s="87">
        <v>-27.033859999999997</v>
      </c>
      <c r="P15" s="87">
        <f>+SUM(L15:O15)</f>
        <v>-55.561284147357711</v>
      </c>
      <c r="Q15" s="87">
        <f>-10.47</f>
        <v>-10.47</v>
      </c>
      <c r="R15" s="87">
        <v>-21.077999999999999</v>
      </c>
      <c r="S15" s="87">
        <v>-6.0015545550169191</v>
      </c>
      <c r="T15" s="87">
        <v>-6.3493298707002683</v>
      </c>
      <c r="U15" s="87">
        <f t="shared" ref="U15:U20" si="29">+SUM(Q15:T15)</f>
        <v>-43.898884425717185</v>
      </c>
      <c r="V15" s="87">
        <v>-5.1369879747414284</v>
      </c>
      <c r="W15" s="87">
        <v>-7.5200076026260616</v>
      </c>
      <c r="X15" s="87">
        <v>-3.71800442263251</v>
      </c>
      <c r="Y15" s="87">
        <v>-25.682053</v>
      </c>
      <c r="Z15" s="87">
        <f t="shared" ref="Z15:Z20" si="30">V15+W15+X15+Y15</f>
        <v>-42.057052999999996</v>
      </c>
      <c r="AA15" s="87">
        <v>-29.814485000000001</v>
      </c>
      <c r="AB15" s="87">
        <v>-33.540566999999996</v>
      </c>
      <c r="AC15" s="87">
        <v>-41.212000000000003</v>
      </c>
      <c r="AD15" s="87">
        <v>-69.334000000000003</v>
      </c>
      <c r="AE15" s="87">
        <f t="shared" ref="AE15:AE20" si="31">AD15+AC15+AB15+AA15</f>
        <v>-173.90105199999999</v>
      </c>
      <c r="AF15" s="87">
        <v>-49.753439999999998</v>
      </c>
      <c r="AG15" s="87">
        <v>-62.094742999999994</v>
      </c>
      <c r="AH15" s="87">
        <v>-61.163212000000001</v>
      </c>
      <c r="AM15" s="108"/>
    </row>
    <row r="16" spans="1:39" x14ac:dyDescent="0.25">
      <c r="A16" s="5" t="s">
        <v>101</v>
      </c>
      <c r="B16" s="91">
        <v>0</v>
      </c>
      <c r="C16" s="91">
        <v>0</v>
      </c>
      <c r="D16" s="91">
        <v>0</v>
      </c>
      <c r="E16" s="87">
        <v>348.61188900000002</v>
      </c>
      <c r="F16" s="87">
        <f t="shared" ref="F16:F20" si="32">+SUM(B16:E16)</f>
        <v>348.61188900000002</v>
      </c>
      <c r="G16" s="91">
        <v>0</v>
      </c>
      <c r="H16" s="91">
        <v>0</v>
      </c>
      <c r="I16" s="91">
        <v>0</v>
      </c>
      <c r="J16" s="91">
        <v>0</v>
      </c>
      <c r="K16" s="91">
        <f t="shared" ref="K16:K20" si="33">+SUM(G16:J16)</f>
        <v>0</v>
      </c>
      <c r="L16" s="91">
        <v>0</v>
      </c>
      <c r="M16" s="91">
        <v>0</v>
      </c>
      <c r="N16" s="91">
        <v>0</v>
      </c>
      <c r="O16" s="91">
        <v>34.966000000000001</v>
      </c>
      <c r="P16" s="91">
        <f t="shared" ref="P16:P20" si="34">+SUM(L16:O16)</f>
        <v>34.966000000000001</v>
      </c>
      <c r="Q16" s="91">
        <v>0</v>
      </c>
      <c r="R16" s="91">
        <v>296.64052500000003</v>
      </c>
      <c r="S16" s="91">
        <v>0</v>
      </c>
      <c r="T16" s="91">
        <f>(38489.2129999999+24672)/1000</f>
        <v>63.161212999999904</v>
      </c>
      <c r="U16" s="91">
        <f t="shared" si="29"/>
        <v>359.80173799999994</v>
      </c>
      <c r="V16" s="91">
        <v>0</v>
      </c>
      <c r="W16" s="91">
        <v>0</v>
      </c>
      <c r="X16" s="91">
        <v>0</v>
      </c>
      <c r="Y16" s="91">
        <v>685.892248</v>
      </c>
      <c r="Z16" s="91">
        <f t="shared" si="30"/>
        <v>685.892248</v>
      </c>
      <c r="AA16" s="91">
        <v>0</v>
      </c>
      <c r="AB16" s="91">
        <v>72.69</v>
      </c>
      <c r="AC16" s="91">
        <v>0</v>
      </c>
      <c r="AD16" s="91">
        <v>3.3400000006076898E-4</v>
      </c>
      <c r="AE16" s="91">
        <f t="shared" si="31"/>
        <v>72.690334000000064</v>
      </c>
      <c r="AF16" s="91">
        <v>1.4576000000000932E-2</v>
      </c>
      <c r="AG16" s="91">
        <v>-9.3791641120333229E-16</v>
      </c>
      <c r="AH16" s="91">
        <v>3.1937139999999999</v>
      </c>
      <c r="AM16" s="108"/>
    </row>
    <row r="17" spans="1:43" x14ac:dyDescent="0.25">
      <c r="A17" s="5" t="s">
        <v>102</v>
      </c>
      <c r="B17" s="91">
        <v>0</v>
      </c>
      <c r="C17" s="91">
        <v>0</v>
      </c>
      <c r="D17" s="91">
        <v>0</v>
      </c>
      <c r="E17" s="91">
        <v>0</v>
      </c>
      <c r="F17" s="91">
        <f t="shared" si="32"/>
        <v>0</v>
      </c>
      <c r="G17" s="91">
        <v>0</v>
      </c>
      <c r="H17" s="91">
        <v>0</v>
      </c>
      <c r="I17" s="91">
        <v>0</v>
      </c>
      <c r="J17" s="91">
        <v>0</v>
      </c>
      <c r="K17" s="91">
        <f t="shared" si="33"/>
        <v>0</v>
      </c>
      <c r="L17" s="91">
        <v>-10.843999999999999</v>
      </c>
      <c r="M17" s="91">
        <v>-10.46</v>
      </c>
      <c r="N17" s="91">
        <v>-10.33</v>
      </c>
      <c r="O17" s="91">
        <v>0.09</v>
      </c>
      <c r="P17" s="91">
        <f t="shared" si="34"/>
        <v>-31.544</v>
      </c>
      <c r="Q17" s="91">
        <v>7.7560000000000002</v>
      </c>
      <c r="R17" s="91">
        <v>0</v>
      </c>
      <c r="S17" s="91">
        <v>1.1507009999999991</v>
      </c>
      <c r="T17" s="91">
        <v>-0.41199999999999998</v>
      </c>
      <c r="U17" s="91">
        <f t="shared" si="29"/>
        <v>8.4947009999999992</v>
      </c>
      <c r="V17" s="91">
        <v>-3.8155349999999997</v>
      </c>
      <c r="W17" s="91">
        <v>0</v>
      </c>
      <c r="X17" s="91">
        <v>-1.4047489999999998</v>
      </c>
      <c r="Y17" s="91">
        <v>0.25596819999999937</v>
      </c>
      <c r="Z17" s="91">
        <f t="shared" si="30"/>
        <v>-4.9643158000000005</v>
      </c>
      <c r="AA17" s="91">
        <v>-39.869710999999995</v>
      </c>
      <c r="AB17" s="91">
        <v>-1.8739603196799872</v>
      </c>
      <c r="AC17" s="91">
        <v>0</v>
      </c>
      <c r="AD17" s="91">
        <v>-8.016</v>
      </c>
      <c r="AE17" s="91">
        <f t="shared" si="31"/>
        <v>-49.759671319679981</v>
      </c>
      <c r="AF17" s="91">
        <v>-23.980900999999999</v>
      </c>
      <c r="AG17" s="91">
        <v>0</v>
      </c>
      <c r="AH17" s="91">
        <v>2.0698139999999983</v>
      </c>
      <c r="AM17" s="108"/>
    </row>
    <row r="18" spans="1:43" x14ac:dyDescent="0.25">
      <c r="A18" s="5" t="s">
        <v>103</v>
      </c>
      <c r="B18" s="91">
        <v>0</v>
      </c>
      <c r="C18" s="87">
        <v>591.6</v>
      </c>
      <c r="D18" s="87">
        <v>-1.8536583300000056</v>
      </c>
      <c r="E18" s="91">
        <v>0</v>
      </c>
      <c r="F18" s="87">
        <f t="shared" si="32"/>
        <v>589.74634166999999</v>
      </c>
      <c r="G18" s="91">
        <v>0</v>
      </c>
      <c r="H18" s="91">
        <v>0</v>
      </c>
      <c r="I18" s="91">
        <v>0</v>
      </c>
      <c r="J18" s="91">
        <v>0</v>
      </c>
      <c r="K18" s="91">
        <f t="shared" si="33"/>
        <v>0</v>
      </c>
      <c r="L18" s="91">
        <v>0</v>
      </c>
      <c r="M18" s="91">
        <v>0</v>
      </c>
      <c r="N18" s="91">
        <v>0</v>
      </c>
      <c r="O18" s="91">
        <v>300</v>
      </c>
      <c r="P18" s="91">
        <f t="shared" si="34"/>
        <v>300</v>
      </c>
      <c r="Q18" s="91">
        <v>0</v>
      </c>
      <c r="R18" s="91">
        <v>33.921999999999997</v>
      </c>
      <c r="S18" s="91">
        <v>0</v>
      </c>
      <c r="T18" s="91">
        <v>0</v>
      </c>
      <c r="U18" s="91">
        <f t="shared" si="29"/>
        <v>33.921999999999997</v>
      </c>
      <c r="V18" s="91">
        <v>0</v>
      </c>
      <c r="W18" s="91">
        <v>0</v>
      </c>
      <c r="X18" s="91">
        <v>0</v>
      </c>
      <c r="Y18" s="91">
        <v>1800</v>
      </c>
      <c r="Z18" s="91">
        <f t="shared" si="30"/>
        <v>1800</v>
      </c>
      <c r="AA18" s="91">
        <v>0</v>
      </c>
      <c r="AB18" s="91">
        <v>0</v>
      </c>
      <c r="AC18" s="91">
        <v>0</v>
      </c>
      <c r="AD18" s="91">
        <v>0</v>
      </c>
      <c r="AE18" s="91">
        <f t="shared" si="31"/>
        <v>0</v>
      </c>
      <c r="AF18" s="91">
        <v>0</v>
      </c>
      <c r="AG18" s="91">
        <v>0</v>
      </c>
      <c r="AH18" s="91">
        <v>0</v>
      </c>
      <c r="AM18" s="108"/>
    </row>
    <row r="19" spans="1:43" x14ac:dyDescent="0.25">
      <c r="A19" s="5" t="s">
        <v>104</v>
      </c>
      <c r="B19" s="91">
        <v>0</v>
      </c>
      <c r="C19" s="87">
        <v>-571.82899999999995</v>
      </c>
      <c r="D19" s="87">
        <v>-100.5</v>
      </c>
      <c r="E19" s="87">
        <v>-155.33456799999996</v>
      </c>
      <c r="F19" s="87">
        <f t="shared" si="32"/>
        <v>-827.66356799999994</v>
      </c>
      <c r="G19" s="91">
        <v>0</v>
      </c>
      <c r="H19" s="91">
        <v>0</v>
      </c>
      <c r="I19" s="91">
        <v>0</v>
      </c>
      <c r="J19" s="91">
        <v>0</v>
      </c>
      <c r="K19" s="91">
        <f t="shared" ref="K19" si="35">+SUM(G19:J19)</f>
        <v>0</v>
      </c>
      <c r="L19" s="87">
        <v>-6.7539999999999996</v>
      </c>
      <c r="M19" s="91">
        <v>-9.6519999999999992</v>
      </c>
      <c r="N19" s="91">
        <v>-7.5591090000000003</v>
      </c>
      <c r="O19" s="91">
        <v>-464.88299999999998</v>
      </c>
      <c r="P19" s="91">
        <f t="shared" si="34"/>
        <v>-488.84810899999997</v>
      </c>
      <c r="Q19" s="91">
        <f>-9.826</f>
        <v>-9.8260000000000005</v>
      </c>
      <c r="R19" s="91">
        <v>-10.481</v>
      </c>
      <c r="S19" s="91">
        <v>-11.348000000000001</v>
      </c>
      <c r="T19" s="91">
        <v>-11.207883999999998</v>
      </c>
      <c r="U19" s="91">
        <f t="shared" si="29"/>
        <v>-42.862884000000001</v>
      </c>
      <c r="V19" s="91">
        <v>-11.394562000000001</v>
      </c>
      <c r="W19" s="91">
        <v>-14.048438000000001</v>
      </c>
      <c r="X19" s="91">
        <v>-12.995439000000003</v>
      </c>
      <c r="Y19" s="91">
        <v>-14.947303999999997</v>
      </c>
      <c r="Z19" s="91">
        <f t="shared" si="30"/>
        <v>-53.385742999999998</v>
      </c>
      <c r="AA19" s="91">
        <v>-13.501083000000001</v>
      </c>
      <c r="AB19" s="91">
        <v>-16.421019000000001</v>
      </c>
      <c r="AC19" s="91">
        <v>-9.9670000000000005</v>
      </c>
      <c r="AD19" s="91">
        <v>-310.911</v>
      </c>
      <c r="AE19" s="91">
        <f t="shared" si="31"/>
        <v>-350.80010199999998</v>
      </c>
      <c r="AF19" s="91">
        <v>-164.72164099999998</v>
      </c>
      <c r="AG19" s="91">
        <v>-21.890484999999995</v>
      </c>
      <c r="AH19" s="91">
        <v>-20.673258000000001</v>
      </c>
      <c r="AM19" s="108"/>
      <c r="AP19" s="76"/>
      <c r="AQ19" s="76"/>
    </row>
    <row r="20" spans="1:43" x14ac:dyDescent="0.25">
      <c r="A20" s="5" t="s">
        <v>105</v>
      </c>
      <c r="B20" s="87">
        <v>0.104</v>
      </c>
      <c r="C20" s="87">
        <v>-9.6579999999999995</v>
      </c>
      <c r="D20" s="87">
        <v>0.55390499999999887</v>
      </c>
      <c r="E20" s="87">
        <v>5.5950660000000001</v>
      </c>
      <c r="F20" s="87">
        <f t="shared" si="32"/>
        <v>-3.4050290000000016</v>
      </c>
      <c r="G20" s="91">
        <v>0</v>
      </c>
      <c r="H20" s="87">
        <v>7.1052920000000004</v>
      </c>
      <c r="I20" s="87">
        <v>-2.9076340000000007</v>
      </c>
      <c r="J20" s="87">
        <v>-3.58170177</v>
      </c>
      <c r="K20" s="87">
        <f t="shared" si="33"/>
        <v>0.61595622999999966</v>
      </c>
      <c r="L20" s="87">
        <v>-2.92</v>
      </c>
      <c r="M20" s="87">
        <v>0</v>
      </c>
      <c r="N20" s="87">
        <v>5.7569999999999997</v>
      </c>
      <c r="O20" s="87">
        <v>-5.5430000000000001</v>
      </c>
      <c r="P20" s="87">
        <f t="shared" si="34"/>
        <v>-2.7060000000000004</v>
      </c>
      <c r="Q20" s="87">
        <f>-0.306</f>
        <v>-0.30599999999999999</v>
      </c>
      <c r="R20" s="87">
        <v>0.96750000000000003</v>
      </c>
      <c r="S20" s="87">
        <v>-2.0607664999999997</v>
      </c>
      <c r="T20" s="91">
        <v>-2.363</v>
      </c>
      <c r="U20" s="91">
        <f t="shared" si="29"/>
        <v>-3.7622665</v>
      </c>
      <c r="V20" s="91">
        <v>0</v>
      </c>
      <c r="W20" s="91">
        <v>0</v>
      </c>
      <c r="X20" s="91">
        <v>0</v>
      </c>
      <c r="Y20" s="91">
        <v>-10</v>
      </c>
      <c r="Z20" s="91">
        <f t="shared" si="30"/>
        <v>-10</v>
      </c>
      <c r="AA20" s="91">
        <v>0</v>
      </c>
      <c r="AB20" s="91"/>
      <c r="AC20" s="91">
        <v>0</v>
      </c>
      <c r="AD20" s="91">
        <v>0</v>
      </c>
      <c r="AE20" s="91">
        <f t="shared" si="31"/>
        <v>0</v>
      </c>
      <c r="AF20" s="91">
        <v>0</v>
      </c>
      <c r="AG20" s="91">
        <v>0</v>
      </c>
      <c r="AH20" s="91">
        <v>0</v>
      </c>
      <c r="AM20" s="108"/>
    </row>
    <row r="21" spans="1:43" x14ac:dyDescent="0.25">
      <c r="A21" s="5" t="s">
        <v>153</v>
      </c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 s="87">
        <v>-350.00098699999995</v>
      </c>
      <c r="AH21" s="87">
        <v>100</v>
      </c>
      <c r="AM21" s="108"/>
      <c r="AP21" s="76"/>
      <c r="AQ21" s="76"/>
    </row>
    <row r="22" spans="1:43" x14ac:dyDescent="0.25">
      <c r="A22" s="5" t="s">
        <v>152</v>
      </c>
      <c r="B22" s="87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0</v>
      </c>
      <c r="AG22" s="87">
        <v>290.72860309589686</v>
      </c>
      <c r="AH22" s="87">
        <v>506.15333994598046</v>
      </c>
      <c r="AM22" s="108"/>
    </row>
    <row r="23" spans="1:43" x14ac:dyDescent="0.25">
      <c r="A23" s="6" t="s">
        <v>106</v>
      </c>
      <c r="B23" s="88">
        <f t="shared" ref="B23:AF23" si="36">+SUM(B15:B22)</f>
        <v>-12.616000000000001</v>
      </c>
      <c r="C23" s="88">
        <f t="shared" si="36"/>
        <v>-4.7989999999999622</v>
      </c>
      <c r="D23" s="88">
        <f t="shared" si="36"/>
        <v>-115.44729370449041</v>
      </c>
      <c r="E23" s="88">
        <f t="shared" si="36"/>
        <v>183.16989778929093</v>
      </c>
      <c r="F23" s="88">
        <f t="shared" si="36"/>
        <v>50.307604084800587</v>
      </c>
      <c r="G23" s="88">
        <f t="shared" si="36"/>
        <v>-9.7701350997299095</v>
      </c>
      <c r="H23" s="88">
        <f t="shared" si="36"/>
        <v>-2.8768106772339817</v>
      </c>
      <c r="I23" s="88">
        <f t="shared" si="36"/>
        <v>-14.795229196836701</v>
      </c>
      <c r="J23" s="88">
        <f t="shared" si="36"/>
        <v>-12.650869330037859</v>
      </c>
      <c r="K23" s="88">
        <f t="shared" si="36"/>
        <v>-40.093044303838447</v>
      </c>
      <c r="L23" s="88">
        <f t="shared" si="36"/>
        <v>-28.79290414735771</v>
      </c>
      <c r="M23" s="88">
        <f t="shared" si="36"/>
        <v>-28.533999999999999</v>
      </c>
      <c r="N23" s="88">
        <f t="shared" si="36"/>
        <v>-23.962629</v>
      </c>
      <c r="O23" s="88">
        <f t="shared" si="36"/>
        <v>-162.40386000000001</v>
      </c>
      <c r="P23" s="88">
        <f t="shared" si="36"/>
        <v>-243.69339314735768</v>
      </c>
      <c r="Q23" s="88">
        <f t="shared" si="36"/>
        <v>-12.846</v>
      </c>
      <c r="R23" s="88">
        <f t="shared" si="36"/>
        <v>299.97102500000005</v>
      </c>
      <c r="S23" s="88">
        <f t="shared" si="36"/>
        <v>-18.259620055016921</v>
      </c>
      <c r="T23" s="88">
        <f t="shared" si="36"/>
        <v>42.828999129299639</v>
      </c>
      <c r="U23" s="88">
        <f t="shared" si="36"/>
        <v>311.69440407428272</v>
      </c>
      <c r="V23" s="88">
        <f t="shared" si="36"/>
        <v>-20.347084974741428</v>
      </c>
      <c r="W23" s="88">
        <f t="shared" si="36"/>
        <v>-21.568445602626063</v>
      </c>
      <c r="X23" s="88">
        <f t="shared" si="36"/>
        <v>-18.118192422632511</v>
      </c>
      <c r="Y23" s="88">
        <f t="shared" si="36"/>
        <v>2435.5188592</v>
      </c>
      <c r="Z23" s="88">
        <f t="shared" si="36"/>
        <v>2375.4851361999999</v>
      </c>
      <c r="AA23" s="88">
        <f t="shared" si="36"/>
        <v>-83.185279000000008</v>
      </c>
      <c r="AB23" s="88">
        <f t="shared" si="36"/>
        <v>20.854453680320013</v>
      </c>
      <c r="AC23" s="88">
        <f t="shared" si="36"/>
        <v>-51.179000000000002</v>
      </c>
      <c r="AD23" s="88">
        <f t="shared" si="36"/>
        <v>-388.26066599999996</v>
      </c>
      <c r="AE23" s="88">
        <f t="shared" si="36"/>
        <v>-501.77049131967988</v>
      </c>
      <c r="AF23" s="88">
        <f t="shared" si="36"/>
        <v>-238.44140599999997</v>
      </c>
      <c r="AG23" s="88">
        <f>+SUM(AG15:AG22)</f>
        <v>-143.2576119041031</v>
      </c>
      <c r="AH23" s="88">
        <f>+SUM(AH15:AH22)</f>
        <v>529.58039794598051</v>
      </c>
      <c r="AM23" s="108"/>
      <c r="AP23" s="121"/>
      <c r="AQ23" s="76"/>
    </row>
    <row r="24" spans="1:43" x14ac:dyDescent="0.25">
      <c r="A24" s="5" t="s">
        <v>107</v>
      </c>
      <c r="B24" s="87">
        <v>-161.845</v>
      </c>
      <c r="C24" s="87">
        <v>133.036</v>
      </c>
      <c r="D24" s="87">
        <v>-336.83662837626918</v>
      </c>
      <c r="E24" s="87">
        <v>495.29701412740451</v>
      </c>
      <c r="F24" s="87">
        <f>+SUM(B24:E24)</f>
        <v>129.65138575113531</v>
      </c>
      <c r="G24" s="87">
        <v>-282.39377613656046</v>
      </c>
      <c r="H24" s="87">
        <v>92.736350306070605</v>
      </c>
      <c r="I24" s="87">
        <v>-130.57717735779761</v>
      </c>
      <c r="J24" s="87">
        <v>325.37730473844886</v>
      </c>
      <c r="K24" s="87">
        <f>+SUM(G24:J24)</f>
        <v>5.1427015501614051</v>
      </c>
      <c r="L24" s="87">
        <f>+L23+L13+L9</f>
        <v>-286.30091378624769</v>
      </c>
      <c r="M24" s="87">
        <f>+M23+M13+M9</f>
        <v>623.50900000000001</v>
      </c>
      <c r="N24" s="87">
        <f>+N23+N13+N9</f>
        <v>-676.35575399999993</v>
      </c>
      <c r="O24" s="87">
        <f>+O23+O13+O9</f>
        <v>201.26746999999864</v>
      </c>
      <c r="P24" s="87">
        <f>+SUM(L24:O24)</f>
        <v>-137.88019778624897</v>
      </c>
      <c r="Q24" s="87">
        <f>+Q23+Q13+Q9</f>
        <v>85.174999999999997</v>
      </c>
      <c r="R24" s="87">
        <f>+R23+R13+R9</f>
        <v>1361.1620090000008</v>
      </c>
      <c r="S24" s="87">
        <f>+S23+S13+S9</f>
        <v>-1276.4832752837087</v>
      </c>
      <c r="T24" s="87">
        <f>+T23+T13+T9</f>
        <v>989.49365619056641</v>
      </c>
      <c r="U24" s="87">
        <f t="shared" ref="U24:U27" si="37">+SUM(Q24:T24)</f>
        <v>1159.3473899068586</v>
      </c>
      <c r="V24" s="87">
        <f t="shared" ref="V24:X24" si="38">(+V23+V13+V9)</f>
        <v>-434.90994996689165</v>
      </c>
      <c r="W24" s="87">
        <f t="shared" si="38"/>
        <v>464.26682061689297</v>
      </c>
      <c r="X24" s="87">
        <f t="shared" si="38"/>
        <v>-616.19259033252263</v>
      </c>
      <c r="Y24" s="87">
        <f>((+Y23+Y13+Y9))</f>
        <v>427.3687687127001</v>
      </c>
      <c r="Z24" s="87">
        <f>V24+W24+X24+Y24</f>
        <v>-159.46695096982126</v>
      </c>
      <c r="AA24" s="87">
        <f t="shared" ref="AA24:AE24" si="39">((+AA23+AA13+AA9))</f>
        <v>-434.63057499999934</v>
      </c>
      <c r="AB24" s="87">
        <f t="shared" si="39"/>
        <v>424.5361366803204</v>
      </c>
      <c r="AC24" s="87">
        <f t="shared" si="39"/>
        <v>-594.51642900000149</v>
      </c>
      <c r="AD24" s="87">
        <f t="shared" si="39"/>
        <v>-19.991665999999952</v>
      </c>
      <c r="AE24" s="87">
        <f t="shared" si="39"/>
        <v>-624.60253331968033</v>
      </c>
      <c r="AF24" s="87">
        <f t="shared" ref="AF24:AH24" si="40">((+AF23+AF13+AF9))</f>
        <v>-203.13186571104922</v>
      </c>
      <c r="AG24" s="87">
        <f t="shared" si="40"/>
        <v>-55.717514810172077</v>
      </c>
      <c r="AH24" s="87">
        <f t="shared" si="40"/>
        <v>-457.35274540404231</v>
      </c>
      <c r="AM24" s="72"/>
    </row>
    <row r="25" spans="1:43" x14ac:dyDescent="0.25">
      <c r="A25" s="5" t="s">
        <v>108</v>
      </c>
      <c r="B25" s="87">
        <v>227.905</v>
      </c>
      <c r="C25" s="87">
        <v>66.515000000000001</v>
      </c>
      <c r="D25" s="87">
        <v>204.72102799999993</v>
      </c>
      <c r="E25" s="87">
        <v>-136.42562600000005</v>
      </c>
      <c r="F25" s="87">
        <f>+B25</f>
        <v>227.905</v>
      </c>
      <c r="G25" s="87">
        <v>368.44242099999997</v>
      </c>
      <c r="H25" s="87">
        <v>76.440507002645603</v>
      </c>
      <c r="I25" s="87">
        <v>165.51235630220251</v>
      </c>
      <c r="J25" s="87">
        <v>33.855389999999993</v>
      </c>
      <c r="K25" s="87">
        <f>+G25</f>
        <v>368.44242099999997</v>
      </c>
      <c r="L25" s="87">
        <v>379.28193600000014</v>
      </c>
      <c r="M25" s="87">
        <v>84.034052294612479</v>
      </c>
      <c r="N25" s="87">
        <v>707.76451300000031</v>
      </c>
      <c r="O25" s="87">
        <v>40.118990999999923</v>
      </c>
      <c r="P25" s="87">
        <f>+L25</f>
        <v>379.28193600000014</v>
      </c>
      <c r="Q25" s="87">
        <v>238.81700000000001</v>
      </c>
      <c r="R25" s="87">
        <f>+Q28</f>
        <v>330.43200000000002</v>
      </c>
      <c r="S25" s="87">
        <f>+R28</f>
        <v>1689.3600090000009</v>
      </c>
      <c r="T25" s="87">
        <f>+S28</f>
        <v>412.79323371629215</v>
      </c>
      <c r="U25" s="87">
        <f>+P28</f>
        <v>238.84265714101048</v>
      </c>
      <c r="V25" s="87">
        <f>+U28</f>
        <v>1394.1439772127139</v>
      </c>
      <c r="W25" s="87">
        <v>962.05925937486802</v>
      </c>
      <c r="X25" s="87">
        <v>1414.6193639999999</v>
      </c>
      <c r="Y25" s="87">
        <f>+X28</f>
        <v>796.28517713780525</v>
      </c>
      <c r="Z25" s="87">
        <f>+U28</f>
        <v>1394.1439772127139</v>
      </c>
      <c r="AA25" s="87">
        <f>+Z28</f>
        <v>1216.6387990392213</v>
      </c>
      <c r="AB25" s="87">
        <f>+AA28</f>
        <v>784.67276333331074</v>
      </c>
      <c r="AC25" s="87">
        <v>1213.0136609999993</v>
      </c>
      <c r="AD25" s="87">
        <v>604.71900000000005</v>
      </c>
      <c r="AE25" s="87">
        <f>+Z28</f>
        <v>1216.6387990392213</v>
      </c>
      <c r="AF25" s="87">
        <v>1529.641271</v>
      </c>
      <c r="AG25" s="87">
        <v>1412.9232339999996</v>
      </c>
      <c r="AH25" s="87">
        <v>1405.354077</v>
      </c>
      <c r="AM25" s="108"/>
      <c r="AQ25" s="76"/>
    </row>
    <row r="26" spans="1:43" x14ac:dyDescent="0.25">
      <c r="A26" s="5" t="s">
        <v>109</v>
      </c>
      <c r="B26" s="87">
        <v>0</v>
      </c>
      <c r="C26" s="87">
        <v>0</v>
      </c>
      <c r="D26" s="87">
        <v>0</v>
      </c>
      <c r="E26" s="87">
        <v>0</v>
      </c>
      <c r="F26" s="87">
        <f>+B26</f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v>0</v>
      </c>
      <c r="AD26" s="87">
        <v>900.00099999999998</v>
      </c>
      <c r="AE26" s="87">
        <f>+AD26</f>
        <v>900.00099999999998</v>
      </c>
      <c r="AF26" s="87">
        <v>0</v>
      </c>
      <c r="AG26" s="87">
        <v>0</v>
      </c>
      <c r="AH26" s="87">
        <v>0</v>
      </c>
    </row>
    <row r="27" spans="1:43" x14ac:dyDescent="0.25">
      <c r="A27" s="5" t="s">
        <v>110</v>
      </c>
      <c r="B27" s="87">
        <v>0.45500000000000002</v>
      </c>
      <c r="C27" s="87">
        <v>5.17</v>
      </c>
      <c r="D27" s="87">
        <v>-4.3100256237306604</v>
      </c>
      <c r="E27" s="87">
        <v>9.5710328590103995</v>
      </c>
      <c r="F27" s="87">
        <f>+SUM(B27:E27)</f>
        <v>10.886007235279738</v>
      </c>
      <c r="G27" s="87">
        <v>-9.6081378607938888</v>
      </c>
      <c r="H27" s="87">
        <v>-3.664501006513714</v>
      </c>
      <c r="I27" s="87">
        <v>-1.0797889444049142</v>
      </c>
      <c r="J27" s="87">
        <v>20.049241261551273</v>
      </c>
      <c r="K27" s="87">
        <f>+SUM(G27:J27)</f>
        <v>5.696813449838757</v>
      </c>
      <c r="L27" s="87">
        <v>-8.9749699191399515</v>
      </c>
      <c r="M27" s="87">
        <v>0.246</v>
      </c>
      <c r="N27" s="87">
        <v>8.7398888463992481</v>
      </c>
      <c r="O27" s="87">
        <v>-2.57</v>
      </c>
      <c r="P27" s="87">
        <f>+SUM(L27:O27)</f>
        <v>-2.5590810727407027</v>
      </c>
      <c r="Q27" s="87">
        <v>6.44</v>
      </c>
      <c r="R27" s="87">
        <v>-2.234</v>
      </c>
      <c r="S27" s="87">
        <v>-8.3500000000000005E-2</v>
      </c>
      <c r="T27" s="87">
        <v>-8.1685698351549849</v>
      </c>
      <c r="U27" s="87">
        <f t="shared" si="37"/>
        <v>-4.0460698351549844</v>
      </c>
      <c r="V27" s="87">
        <v>2.8484148574522998</v>
      </c>
      <c r="W27" s="87">
        <v>-11.7078183277803</v>
      </c>
      <c r="X27" s="87">
        <v>-2.1415965296719799</v>
      </c>
      <c r="Y27" s="87">
        <v>-7.0372272036713435</v>
      </c>
      <c r="Z27" s="87">
        <f>V27+W27+X27+Y27</f>
        <v>-18.038227203671322</v>
      </c>
      <c r="AA27" s="87">
        <v>2.66453929408878</v>
      </c>
      <c r="AB27" s="87">
        <v>3.8267220140829701</v>
      </c>
      <c r="AC27" s="87">
        <v>-13.778768195127675</v>
      </c>
      <c r="AD27" s="87">
        <v>44.912999999999997</v>
      </c>
      <c r="AE27" s="87">
        <f>AD27+AC27+AB27+AA27</f>
        <v>37.625493113044072</v>
      </c>
      <c r="AF27" s="87">
        <v>86.532398711049979</v>
      </c>
      <c r="AG27" s="87">
        <v>47.929496844301973</v>
      </c>
      <c r="AH27" s="87">
        <v>-40.85871762351492</v>
      </c>
      <c r="AM27" s="108"/>
    </row>
    <row r="28" spans="1:43" x14ac:dyDescent="0.25">
      <c r="A28" s="17" t="s">
        <v>111</v>
      </c>
      <c r="B28" s="93">
        <v>66.515000000000001</v>
      </c>
      <c r="C28" s="93">
        <v>204.721</v>
      </c>
      <c r="D28" s="93">
        <v>-136.42562599999994</v>
      </c>
      <c r="E28" s="93">
        <v>368.44242098641485</v>
      </c>
      <c r="F28" s="93">
        <f>+SUM(F24:F27)</f>
        <v>368.44239298641503</v>
      </c>
      <c r="G28" s="93">
        <v>76.440507002645603</v>
      </c>
      <c r="H28" s="93">
        <v>165.51235630220251</v>
      </c>
      <c r="I28" s="93">
        <v>33.855389999999993</v>
      </c>
      <c r="J28" s="93">
        <v>379.28193600000014</v>
      </c>
      <c r="K28" s="93">
        <f>+SUM(K24:K27)</f>
        <v>379.28193600000014</v>
      </c>
      <c r="L28" s="93">
        <v>84.034052294612479</v>
      </c>
      <c r="M28" s="93">
        <f t="shared" ref="M28:U28" si="41">+SUM(M24:M27)</f>
        <v>707.78905229461247</v>
      </c>
      <c r="N28" s="93">
        <f t="shared" si="41"/>
        <v>40.148647846399619</v>
      </c>
      <c r="O28" s="93">
        <f t="shared" si="41"/>
        <v>238.81646099999858</v>
      </c>
      <c r="P28" s="93">
        <f t="shared" si="41"/>
        <v>238.84265714101048</v>
      </c>
      <c r="Q28" s="93">
        <f t="shared" si="41"/>
        <v>330.43200000000002</v>
      </c>
      <c r="R28" s="93">
        <f t="shared" si="41"/>
        <v>1689.3600090000009</v>
      </c>
      <c r="S28" s="93">
        <f t="shared" si="41"/>
        <v>412.79323371629215</v>
      </c>
      <c r="T28" s="93">
        <f t="shared" si="41"/>
        <v>1394.1183200717035</v>
      </c>
      <c r="U28" s="93">
        <f t="shared" si="41"/>
        <v>1394.1439772127139</v>
      </c>
      <c r="V28" s="93">
        <f t="shared" ref="V28" si="42">+SUM(V24:V27)</f>
        <v>962.08244210327462</v>
      </c>
      <c r="W28" s="93">
        <f t="shared" ref="W28" si="43">+SUM(W24:W27)</f>
        <v>1414.6182616639805</v>
      </c>
      <c r="X28" s="93">
        <f t="shared" ref="X28" si="44">+SUM(X24:X27)</f>
        <v>796.28517713780525</v>
      </c>
      <c r="Y28" s="93">
        <f>+SUM(Y24:Y27)</f>
        <v>1216.616718646834</v>
      </c>
      <c r="Z28" s="93">
        <f>+SUM(Z24:Z27)</f>
        <v>1216.6387990392213</v>
      </c>
      <c r="AA28" s="93">
        <f t="shared" ref="AA28:AE28" si="45">+SUM(AA24:AA27)</f>
        <v>784.67276333331074</v>
      </c>
      <c r="AB28" s="93">
        <f t="shared" si="45"/>
        <v>1213.035622027714</v>
      </c>
      <c r="AC28" s="93">
        <f t="shared" si="45"/>
        <v>604.71846380487011</v>
      </c>
      <c r="AD28" s="93">
        <f t="shared" si="45"/>
        <v>1529.6413340000001</v>
      </c>
      <c r="AE28" s="93">
        <f t="shared" si="45"/>
        <v>1529.662758832585</v>
      </c>
      <c r="AF28" s="93">
        <f t="shared" ref="AF28:AH28" si="46">+SUM(AF24:AF27)</f>
        <v>1413.0418040000009</v>
      </c>
      <c r="AG28" s="93">
        <f t="shared" si="46"/>
        <v>1405.1352160341294</v>
      </c>
      <c r="AH28" s="93">
        <f t="shared" si="46"/>
        <v>907.14261397244275</v>
      </c>
      <c r="AM28" s="72"/>
    </row>
    <row r="29" spans="1:43" x14ac:dyDescent="0.25">
      <c r="AH29" s="108"/>
    </row>
  </sheetData>
  <phoneticPr fontId="16" type="noConversion"/>
  <pageMargins left="0.7" right="0.7" top="0.75" bottom="0.75" header="0.3" footer="0.3"/>
  <pageSetup paperSize="9" orientation="portrait" r:id="rId1"/>
  <ignoredErrors>
    <ignoredError sqref="K17 P11" formulaRange="1"/>
    <ignoredError sqref="F25 K25 P9 P13 U25 P24:P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A362-FFA5-4189-BED5-C842198ED57D}">
  <sheetPr codeName="Sheet4"/>
  <dimension ref="A1:X47"/>
  <sheetViews>
    <sheetView showGridLines="0" zoomScaleNormal="100" workbookViewId="0">
      <pane xSplit="1" topLeftCell="B1" activePane="topRight" state="frozen"/>
      <selection activeCell="N34" sqref="N34"/>
      <selection pane="topRight" activeCell="Q34" sqref="Q34"/>
    </sheetView>
  </sheetViews>
  <sheetFormatPr defaultColWidth="6.28515625" defaultRowHeight="15" x14ac:dyDescent="0.25"/>
  <cols>
    <col min="1" max="1" width="19" style="14" customWidth="1"/>
    <col min="2" max="6" width="6.85546875" style="14" customWidth="1"/>
    <col min="7" max="20" width="11" style="14" customWidth="1"/>
    <col min="21" max="21" width="6.28515625" style="14"/>
    <col min="22" max="22" width="11.28515625" style="14" customWidth="1"/>
    <col min="23" max="23" width="6.28515625" style="14"/>
    <col min="24" max="24" width="7.5703125" style="14" bestFit="1" customWidth="1"/>
    <col min="25" max="16384" width="6.28515625" style="14"/>
  </cols>
  <sheetData>
    <row r="1" spans="1:24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150</v>
      </c>
      <c r="H1" s="7" t="s">
        <v>149</v>
      </c>
      <c r="I1" s="7" t="s">
        <v>148</v>
      </c>
      <c r="J1" s="7" t="s">
        <v>147</v>
      </c>
      <c r="K1" s="7">
        <v>2021</v>
      </c>
      <c r="L1" s="7" t="s">
        <v>146</v>
      </c>
      <c r="M1" s="7" t="s">
        <v>144</v>
      </c>
      <c r="N1" s="7" t="s">
        <v>145</v>
      </c>
      <c r="O1" s="7" t="s">
        <v>112</v>
      </c>
      <c r="P1" s="7" t="s">
        <v>17</v>
      </c>
      <c r="Q1" s="7">
        <v>2022</v>
      </c>
      <c r="R1" s="7" t="s">
        <v>18</v>
      </c>
      <c r="S1" s="7" t="s">
        <v>151</v>
      </c>
      <c r="T1" s="7" t="s">
        <v>154</v>
      </c>
    </row>
    <row r="2" spans="1:24" ht="12.6" customHeight="1" x14ac:dyDescent="0.25">
      <c r="A2" s="2" t="s">
        <v>113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4" x14ac:dyDescent="0.25">
      <c r="A3" s="5" t="s">
        <v>114</v>
      </c>
      <c r="B3" s="91">
        <v>392.00270800000004</v>
      </c>
      <c r="C3" s="91">
        <v>440.47961600000042</v>
      </c>
      <c r="D3" s="91">
        <v>309.19726199999963</v>
      </c>
      <c r="E3" s="91">
        <v>455.79975699999954</v>
      </c>
      <c r="F3" s="91">
        <f>+SUM(B3:E3)</f>
        <v>1597.4793429999997</v>
      </c>
      <c r="G3" s="91">
        <v>435.63910900000008</v>
      </c>
      <c r="H3" s="91">
        <v>531.11788500000011</v>
      </c>
      <c r="I3" s="91">
        <v>423.96742300000113</v>
      </c>
      <c r="J3" s="91">
        <v>592.30724499999917</v>
      </c>
      <c r="K3" s="91">
        <f>G3+H3+I3+J3</f>
        <v>1983.0316620000003</v>
      </c>
      <c r="L3" s="91">
        <v>549.7912950000001</v>
      </c>
      <c r="M3" s="91">
        <v>595.52029900000059</v>
      </c>
      <c r="N3" s="91">
        <v>475.17508199999997</v>
      </c>
      <c r="O3" s="91">
        <v>5.9860999999991691</v>
      </c>
      <c r="P3" s="91">
        <f>647065.929/1000</f>
        <v>647.06592899999998</v>
      </c>
      <c r="Q3" s="91">
        <f t="shared" ref="Q3:Q9" si="0">P3+N3+M3+O3+L3</f>
        <v>2273.5387049999999</v>
      </c>
      <c r="R3" s="91">
        <v>652.3299370000002</v>
      </c>
      <c r="S3" s="91">
        <v>673.95884699999999</v>
      </c>
      <c r="T3" s="91">
        <v>561.2183950000001</v>
      </c>
      <c r="V3" s="108"/>
    </row>
    <row r="4" spans="1:24" x14ac:dyDescent="0.25">
      <c r="A4" s="5" t="s">
        <v>115</v>
      </c>
      <c r="B4" s="91">
        <v>103.52440199999999</v>
      </c>
      <c r="C4" s="91">
        <v>156.29082300000019</v>
      </c>
      <c r="D4" s="91">
        <v>122.89856899999992</v>
      </c>
      <c r="E4" s="91">
        <v>155.73292299999994</v>
      </c>
      <c r="F4" s="91">
        <f t="shared" ref="F4:F8" si="1">+SUM(B4:E4)</f>
        <v>538.44671700000004</v>
      </c>
      <c r="G4" s="91">
        <v>132.789061</v>
      </c>
      <c r="H4" s="91">
        <v>182.65036100000034</v>
      </c>
      <c r="I4" s="91">
        <v>149.78680899999932</v>
      </c>
      <c r="J4" s="91">
        <v>213.15785700000032</v>
      </c>
      <c r="K4" s="91">
        <f t="shared" ref="K4:K10" si="2">G4+H4+I4+J4</f>
        <v>678.38408800000002</v>
      </c>
      <c r="L4" s="91">
        <v>162.76174199999986</v>
      </c>
      <c r="M4" s="91">
        <v>279.26453500000019</v>
      </c>
      <c r="N4" s="91">
        <v>250.90437700000001</v>
      </c>
      <c r="O4" s="91">
        <v>8.3170269999998254</v>
      </c>
      <c r="P4" s="91">
        <f>334164.047/1000</f>
        <v>334.16404700000004</v>
      </c>
      <c r="Q4" s="91">
        <f t="shared" si="0"/>
        <v>1035.411728</v>
      </c>
      <c r="R4" s="91">
        <v>276.298002</v>
      </c>
      <c r="S4" s="91">
        <v>371.08374499999996</v>
      </c>
      <c r="T4" s="91">
        <v>324.62388399999998</v>
      </c>
      <c r="V4" s="108"/>
    </row>
    <row r="5" spans="1:24" x14ac:dyDescent="0.25">
      <c r="A5" s="5" t="s">
        <v>116</v>
      </c>
      <c r="B5" s="91">
        <v>67.095133000000004</v>
      </c>
      <c r="C5" s="91">
        <v>113.45069300000026</v>
      </c>
      <c r="D5" s="91">
        <v>72.053170999999622</v>
      </c>
      <c r="E5" s="91">
        <v>93.328401000000454</v>
      </c>
      <c r="F5" s="91">
        <f t="shared" si="1"/>
        <v>345.92739800000032</v>
      </c>
      <c r="G5" s="91">
        <v>91.603771000000052</v>
      </c>
      <c r="H5" s="91">
        <v>149.87058700000006</v>
      </c>
      <c r="I5" s="91">
        <v>109.78987799999965</v>
      </c>
      <c r="J5" s="91">
        <v>289.51430800000082</v>
      </c>
      <c r="K5" s="91">
        <f t="shared" si="2"/>
        <v>640.77854400000058</v>
      </c>
      <c r="L5" s="91">
        <v>291.89756100000011</v>
      </c>
      <c r="M5" s="91">
        <v>386.33656000000053</v>
      </c>
      <c r="N5" s="91">
        <v>371.23845</v>
      </c>
      <c r="O5" s="91">
        <v>1.2527209999991555</v>
      </c>
      <c r="P5" s="91">
        <f>407813.462/1000</f>
        <v>407.81346200000002</v>
      </c>
      <c r="Q5" s="91">
        <f t="shared" si="0"/>
        <v>1458.5387539999997</v>
      </c>
      <c r="R5" s="91">
        <v>350.39680200000004</v>
      </c>
      <c r="S5" s="91">
        <v>415.49924700000003</v>
      </c>
      <c r="T5" s="91">
        <v>471.45408400000008</v>
      </c>
      <c r="V5" s="108"/>
    </row>
    <row r="6" spans="1:24" x14ac:dyDescent="0.25">
      <c r="A6" s="5" t="s">
        <v>117</v>
      </c>
      <c r="B6" s="91">
        <v>70.814491999999987</v>
      </c>
      <c r="C6" s="91">
        <v>84.93529999999997</v>
      </c>
      <c r="D6" s="91">
        <v>87.229245999999932</v>
      </c>
      <c r="E6" s="91">
        <v>98.183552000000148</v>
      </c>
      <c r="F6" s="91">
        <f t="shared" si="1"/>
        <v>341.16259000000002</v>
      </c>
      <c r="G6" s="91">
        <v>98.38857400000002</v>
      </c>
      <c r="H6" s="91">
        <v>117.28103800000012</v>
      </c>
      <c r="I6" s="91">
        <v>122.28026699999975</v>
      </c>
      <c r="J6" s="91">
        <v>124.15803800000018</v>
      </c>
      <c r="K6" s="91">
        <f t="shared" si="2"/>
        <v>462.10791700000004</v>
      </c>
      <c r="L6" s="91">
        <v>120.79133200000003</v>
      </c>
      <c r="M6" s="91">
        <v>137.79289099999971</v>
      </c>
      <c r="N6" s="91">
        <v>130.09819399999998</v>
      </c>
      <c r="O6" s="91">
        <v>0</v>
      </c>
      <c r="P6" s="91">
        <f>158306.418/1000</f>
        <v>158.30641800000001</v>
      </c>
      <c r="Q6" s="91">
        <f t="shared" si="0"/>
        <v>546.98883499999977</v>
      </c>
      <c r="R6" s="91">
        <v>158.58008799999999</v>
      </c>
      <c r="S6" s="91">
        <v>197.199769</v>
      </c>
      <c r="T6" s="91">
        <v>172.66281900000001</v>
      </c>
      <c r="V6" s="108"/>
    </row>
    <row r="7" spans="1:24" x14ac:dyDescent="0.25">
      <c r="A7" s="5" t="s">
        <v>118</v>
      </c>
      <c r="B7" s="91">
        <v>13.942478999999999</v>
      </c>
      <c r="C7" s="91">
        <v>13.453632000000001</v>
      </c>
      <c r="D7" s="91">
        <v>15.697094999999997</v>
      </c>
      <c r="E7" s="91">
        <v>15.562708999999995</v>
      </c>
      <c r="F7" s="91">
        <f t="shared" si="1"/>
        <v>58.655914999999993</v>
      </c>
      <c r="G7" s="91">
        <v>16.210024000000001</v>
      </c>
      <c r="H7" s="91">
        <v>15.535288999999997</v>
      </c>
      <c r="I7" s="91">
        <v>16.657625000000003</v>
      </c>
      <c r="J7" s="91">
        <v>17.152754999999999</v>
      </c>
      <c r="K7" s="91">
        <f t="shared" si="2"/>
        <v>65.555692999999991</v>
      </c>
      <c r="L7" s="91">
        <v>24.816763999999999</v>
      </c>
      <c r="M7" s="91">
        <v>25.905979000000002</v>
      </c>
      <c r="N7" s="91">
        <v>25.839275000000001</v>
      </c>
      <c r="O7" s="91">
        <v>0</v>
      </c>
      <c r="P7" s="91">
        <f>26227.213/1000</f>
        <v>26.227212999999999</v>
      </c>
      <c r="Q7" s="91">
        <f t="shared" si="0"/>
        <v>102.789231</v>
      </c>
      <c r="R7" s="91">
        <v>81.813917000000004</v>
      </c>
      <c r="S7" s="91">
        <v>203.378173</v>
      </c>
      <c r="T7" s="91">
        <v>103.618713</v>
      </c>
      <c r="V7" s="108"/>
    </row>
    <row r="8" spans="1:24" x14ac:dyDescent="0.25">
      <c r="A8" s="5" t="s">
        <v>119</v>
      </c>
      <c r="B8" s="91">
        <v>-44.878326000000001</v>
      </c>
      <c r="C8" s="91">
        <v>-49.530746999999977</v>
      </c>
      <c r="D8" s="91">
        <v>-41.739585000000019</v>
      </c>
      <c r="E8" s="91">
        <v>-57.17478999999998</v>
      </c>
      <c r="F8" s="91">
        <f t="shared" si="1"/>
        <v>-193.32344799999998</v>
      </c>
      <c r="G8" s="91">
        <v>-63.834741000000001</v>
      </c>
      <c r="H8" s="91">
        <v>-56.044302999999978</v>
      </c>
      <c r="I8" s="91">
        <v>-72.075640000000035</v>
      </c>
      <c r="J8" s="91">
        <v>-104.07268000974308</v>
      </c>
      <c r="K8" s="91">
        <f t="shared" si="2"/>
        <v>-296.02736400974311</v>
      </c>
      <c r="L8" s="91">
        <v>-109.93064991811762</v>
      </c>
      <c r="M8" s="91">
        <v>-124.63503608188233</v>
      </c>
      <c r="N8" s="91">
        <v>-72.35320499999969</v>
      </c>
      <c r="O8" s="91">
        <v>-15.556267999993601</v>
      </c>
      <c r="P8" s="91">
        <v>-38.002000000000002</v>
      </c>
      <c r="Q8" s="91">
        <f t="shared" si="0"/>
        <v>-360.47715899999326</v>
      </c>
      <c r="R8" s="91">
        <v>-103.15316000000003</v>
      </c>
      <c r="S8" s="91">
        <v>-145.69742200000002</v>
      </c>
      <c r="T8" s="91">
        <v>-173.51419499999994</v>
      </c>
      <c r="V8" s="108"/>
    </row>
    <row r="9" spans="1:24" x14ac:dyDescent="0.25">
      <c r="A9" s="5" t="s">
        <v>27</v>
      </c>
      <c r="B9" s="91">
        <v>0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f t="shared" si="2"/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f t="shared" si="0"/>
        <v>0</v>
      </c>
      <c r="R9" s="91">
        <v>0</v>
      </c>
      <c r="S9" s="91">
        <v>0</v>
      </c>
      <c r="T9" s="91">
        <v>0</v>
      </c>
      <c r="V9" s="108"/>
    </row>
    <row r="10" spans="1:24" customFormat="1" x14ac:dyDescent="0.25">
      <c r="A10" s="5" t="s">
        <v>120</v>
      </c>
      <c r="B10" s="94"/>
      <c r="C10" s="94"/>
      <c r="D10" s="94"/>
      <c r="E10" s="94"/>
      <c r="F10" s="94"/>
      <c r="G10" s="94">
        <v>25.134028000000001</v>
      </c>
      <c r="H10" s="94">
        <v>34.062131999999998</v>
      </c>
      <c r="I10" s="94">
        <v>11.131971999999999</v>
      </c>
      <c r="J10" s="94">
        <v>54.628531000000002</v>
      </c>
      <c r="K10" s="94">
        <f t="shared" si="2"/>
        <v>124.95666299999999</v>
      </c>
      <c r="L10" s="94">
        <v>31.044060000000002</v>
      </c>
      <c r="M10" s="94">
        <v>115.569794</v>
      </c>
      <c r="N10" s="94">
        <v>25.088716000000002</v>
      </c>
      <c r="O10" s="94"/>
      <c r="P10" s="94">
        <v>-28.931000000000001</v>
      </c>
      <c r="Q10" s="94">
        <f>P10+N10+M10+L10</f>
        <v>142.77157</v>
      </c>
      <c r="R10" s="94">
        <v>0</v>
      </c>
      <c r="S10" s="94">
        <v>0</v>
      </c>
      <c r="T10" s="94">
        <v>0</v>
      </c>
      <c r="V10" s="108"/>
    </row>
    <row r="11" spans="1:24" x14ac:dyDescent="0.25">
      <c r="A11" s="6" t="s">
        <v>121</v>
      </c>
      <c r="B11" s="95">
        <f>+SUM(B3:B10)</f>
        <v>602.50088800000003</v>
      </c>
      <c r="C11" s="95">
        <f t="shared" ref="C11:O11" si="3">+SUM(C3:C10)</f>
        <v>759.07931700000074</v>
      </c>
      <c r="D11" s="95">
        <f t="shared" si="3"/>
        <v>565.33575799999903</v>
      </c>
      <c r="E11" s="95">
        <f t="shared" si="3"/>
        <v>761.4325520000001</v>
      </c>
      <c r="F11" s="95">
        <f t="shared" si="3"/>
        <v>2688.3485149999997</v>
      </c>
      <c r="G11" s="95">
        <f t="shared" si="3"/>
        <v>735.92982600000028</v>
      </c>
      <c r="H11" s="95">
        <f t="shared" si="3"/>
        <v>974.47298900000055</v>
      </c>
      <c r="I11" s="95">
        <f t="shared" si="3"/>
        <v>761.53833399999985</v>
      </c>
      <c r="J11" s="95">
        <f t="shared" si="3"/>
        <v>1186.8460539902576</v>
      </c>
      <c r="K11" s="95">
        <f t="shared" si="3"/>
        <v>3658.7872029902578</v>
      </c>
      <c r="L11" s="95">
        <f t="shared" si="3"/>
        <v>1071.1721040818825</v>
      </c>
      <c r="M11" s="95">
        <f t="shared" si="3"/>
        <v>1415.7550219181185</v>
      </c>
      <c r="N11" s="95">
        <f t="shared" si="3"/>
        <v>1205.9908890000004</v>
      </c>
      <c r="O11" s="95">
        <f t="shared" si="3"/>
        <v>-4.199999954508371E-4</v>
      </c>
      <c r="P11" s="95">
        <f t="shared" ref="P11:Q11" si="4">+SUM(P3:P10)</f>
        <v>1506.6440690000002</v>
      </c>
      <c r="Q11" s="95">
        <f t="shared" si="4"/>
        <v>5199.5616640000053</v>
      </c>
      <c r="R11" s="95">
        <f t="shared" ref="R11" si="5">+SUM(R3:R10)</f>
        <v>1416.265586</v>
      </c>
      <c r="S11" s="95">
        <f t="shared" ref="S11:T11" si="6">+SUM(S3:S10)</f>
        <v>1715.4223590000001</v>
      </c>
      <c r="T11" s="95">
        <f t="shared" si="6"/>
        <v>1460.0637000000002</v>
      </c>
      <c r="V11" s="108"/>
      <c r="X11" s="108"/>
    </row>
    <row r="12" spans="1:24" x14ac:dyDescent="0.25">
      <c r="A12" s="26" t="s">
        <v>22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V12" s="108"/>
    </row>
    <row r="13" spans="1:24" x14ac:dyDescent="0.25">
      <c r="A13" s="5" t="s">
        <v>114</v>
      </c>
      <c r="B13" s="91">
        <v>299.90051300000005</v>
      </c>
      <c r="C13" s="91">
        <v>351.95913299999989</v>
      </c>
      <c r="D13" s="91">
        <v>235.38613899999996</v>
      </c>
      <c r="E13" s="91">
        <v>348.21130499999992</v>
      </c>
      <c r="F13" s="91">
        <f>+SUM(B13:E13)</f>
        <v>1235.4570899999999</v>
      </c>
      <c r="G13" s="91">
        <v>346.21151900000001</v>
      </c>
      <c r="H13" s="91">
        <v>411.30325400000004</v>
      </c>
      <c r="I13" s="91">
        <v>320.041</v>
      </c>
      <c r="J13" s="91">
        <v>438.75465474079016</v>
      </c>
      <c r="K13" s="91">
        <f t="shared" ref="K13:K19" si="7">G13+H13+I13+J13</f>
        <v>1516.3104277407901</v>
      </c>
      <c r="L13" s="91">
        <v>426.56883599999998</v>
      </c>
      <c r="M13" s="91">
        <v>468.44080400000007</v>
      </c>
      <c r="N13" s="91">
        <v>373.69889699999999</v>
      </c>
      <c r="O13" s="91">
        <v>0</v>
      </c>
      <c r="P13" s="91">
        <v>495.96899999999999</v>
      </c>
      <c r="Q13" s="91">
        <f t="shared" ref="Q13:Q19" si="8">P13+N13+M13+O13+L13</f>
        <v>1764.677537</v>
      </c>
      <c r="R13" s="91">
        <v>538.5693040000001</v>
      </c>
      <c r="S13" s="91">
        <v>545.25801700000011</v>
      </c>
      <c r="T13" s="91">
        <v>450.49044400000002</v>
      </c>
      <c r="V13" s="108"/>
    </row>
    <row r="14" spans="1:24" x14ac:dyDescent="0.25">
      <c r="A14" s="5" t="s">
        <v>115</v>
      </c>
      <c r="B14" s="91">
        <v>89.16269699999998</v>
      </c>
      <c r="C14" s="91">
        <v>142.458752</v>
      </c>
      <c r="D14" s="91">
        <v>113.94033600000016</v>
      </c>
      <c r="E14" s="91">
        <v>150.92636899999988</v>
      </c>
      <c r="F14" s="91">
        <f t="shared" ref="F14:F18" si="9">+SUM(B14:E14)</f>
        <v>496.48815400000001</v>
      </c>
      <c r="G14" s="91">
        <v>119.97068699999998</v>
      </c>
      <c r="H14" s="91">
        <v>178.45855900000001</v>
      </c>
      <c r="I14" s="91">
        <v>142.16395700000004</v>
      </c>
      <c r="J14" s="91">
        <v>196.3845849999999</v>
      </c>
      <c r="K14" s="91">
        <f t="shared" si="7"/>
        <v>636.97778799999992</v>
      </c>
      <c r="L14" s="91">
        <v>151.96163999999999</v>
      </c>
      <c r="M14" s="91">
        <v>227.06528599999993</v>
      </c>
      <c r="N14" s="91">
        <v>202.78095799999994</v>
      </c>
      <c r="O14" s="91">
        <v>0</v>
      </c>
      <c r="P14" s="91">
        <v>265.88499999999999</v>
      </c>
      <c r="Q14" s="91">
        <f t="shared" si="8"/>
        <v>847.69288399999982</v>
      </c>
      <c r="R14" s="91">
        <v>231.77637300000004</v>
      </c>
      <c r="S14" s="91">
        <v>340.66584599999987</v>
      </c>
      <c r="T14" s="91">
        <v>279.08337200000005</v>
      </c>
      <c r="V14" s="108"/>
    </row>
    <row r="15" spans="1:24" x14ac:dyDescent="0.25">
      <c r="A15" s="5" t="s">
        <v>116</v>
      </c>
      <c r="B15" s="91">
        <v>61.379643000000002</v>
      </c>
      <c r="C15" s="91">
        <v>96.301926000000009</v>
      </c>
      <c r="D15" s="91">
        <v>64.592994999999959</v>
      </c>
      <c r="E15" s="91">
        <v>81.425380999999959</v>
      </c>
      <c r="F15" s="91">
        <f t="shared" si="9"/>
        <v>303.69994499999996</v>
      </c>
      <c r="G15" s="91">
        <v>80.436309000000008</v>
      </c>
      <c r="H15" s="91">
        <v>121.70505999999997</v>
      </c>
      <c r="I15" s="91">
        <v>79.41783599999998</v>
      </c>
      <c r="J15" s="91">
        <v>210.06728600000008</v>
      </c>
      <c r="K15" s="91">
        <f t="shared" si="7"/>
        <v>491.62649100000004</v>
      </c>
      <c r="L15" s="91">
        <v>237.56376999999998</v>
      </c>
      <c r="M15" s="91">
        <v>306.04374600000006</v>
      </c>
      <c r="N15" s="91">
        <v>302.06790900000004</v>
      </c>
      <c r="O15" s="91">
        <v>0</v>
      </c>
      <c r="P15" s="91">
        <v>333.822</v>
      </c>
      <c r="Q15" s="91">
        <f t="shared" si="8"/>
        <v>1179.497425</v>
      </c>
      <c r="R15" s="91">
        <v>287.41769599999992</v>
      </c>
      <c r="S15" s="91">
        <v>322.246939</v>
      </c>
      <c r="T15" s="91">
        <v>353.25511299999999</v>
      </c>
      <c r="V15" s="108"/>
    </row>
    <row r="16" spans="1:24" x14ac:dyDescent="0.25">
      <c r="A16" s="5" t="s">
        <v>117</v>
      </c>
      <c r="B16" s="91">
        <v>67.256328999999994</v>
      </c>
      <c r="C16" s="91">
        <v>81.793598000000003</v>
      </c>
      <c r="D16" s="91">
        <v>80.902768000000009</v>
      </c>
      <c r="E16" s="91">
        <v>88.530770999999945</v>
      </c>
      <c r="F16" s="91">
        <f t="shared" si="9"/>
        <v>318.48346599999996</v>
      </c>
      <c r="G16" s="91">
        <v>90.304660999999996</v>
      </c>
      <c r="H16" s="91">
        <v>104.54906600000002</v>
      </c>
      <c r="I16" s="91">
        <v>108.99273899999994</v>
      </c>
      <c r="J16" s="91">
        <v>113.36640300000005</v>
      </c>
      <c r="K16" s="91">
        <f t="shared" si="7"/>
        <v>417.21286900000001</v>
      </c>
      <c r="L16" s="91">
        <v>115.25968399999999</v>
      </c>
      <c r="M16" s="91">
        <v>130.19543200000001</v>
      </c>
      <c r="N16" s="91">
        <v>126.67277799999998</v>
      </c>
      <c r="O16" s="91">
        <v>0</v>
      </c>
      <c r="P16" s="91">
        <v>148.59</v>
      </c>
      <c r="Q16" s="91">
        <f t="shared" si="8"/>
        <v>520.717894</v>
      </c>
      <c r="R16" s="91">
        <v>144.134117</v>
      </c>
      <c r="S16" s="91">
        <v>170.56691499999999</v>
      </c>
      <c r="T16" s="91">
        <v>150.33159599999999</v>
      </c>
      <c r="V16" s="108"/>
    </row>
    <row r="17" spans="1:24" x14ac:dyDescent="0.25">
      <c r="A17" s="5" t="s">
        <v>118</v>
      </c>
      <c r="B17" s="91">
        <v>14.662891</v>
      </c>
      <c r="C17" s="91">
        <v>15.109614000000001</v>
      </c>
      <c r="D17" s="91">
        <v>17.945954</v>
      </c>
      <c r="E17" s="91">
        <v>15.194512000000003</v>
      </c>
      <c r="F17" s="91">
        <f t="shared" si="9"/>
        <v>62.912971000000006</v>
      </c>
      <c r="G17" s="91">
        <v>16.133731000000001</v>
      </c>
      <c r="H17" s="91">
        <v>15.389959999999999</v>
      </c>
      <c r="I17" s="91">
        <v>16.654506000000001</v>
      </c>
      <c r="J17" s="91">
        <v>17.174487999999997</v>
      </c>
      <c r="K17" s="91">
        <f t="shared" si="7"/>
        <v>65.352684999999994</v>
      </c>
      <c r="L17" s="91">
        <v>24.669437000000002</v>
      </c>
      <c r="M17" s="91">
        <v>25.878776000000002</v>
      </c>
      <c r="N17" s="91">
        <v>25.672764000000004</v>
      </c>
      <c r="O17" s="91">
        <v>0</v>
      </c>
      <c r="P17" s="91">
        <v>26.117999999999999</v>
      </c>
      <c r="Q17" s="91">
        <f t="shared" si="8"/>
        <v>102.33897700000001</v>
      </c>
      <c r="R17" s="91">
        <v>81.715877000000006</v>
      </c>
      <c r="S17" s="91">
        <v>203.250474</v>
      </c>
      <c r="T17" s="91">
        <v>103.64483300000001</v>
      </c>
      <c r="V17" s="108"/>
    </row>
    <row r="18" spans="1:24" x14ac:dyDescent="0.25">
      <c r="A18" s="5" t="s">
        <v>119</v>
      </c>
      <c r="B18" s="91">
        <v>-17.155806999999999</v>
      </c>
      <c r="C18" s="91">
        <v>-21.783953999999998</v>
      </c>
      <c r="D18" s="91">
        <v>-16.463665000000002</v>
      </c>
      <c r="E18" s="91">
        <v>-16.853386000000008</v>
      </c>
      <c r="F18" s="91">
        <f t="shared" si="9"/>
        <v>-72.256811999999996</v>
      </c>
      <c r="G18" s="91">
        <v>-18.115749999999998</v>
      </c>
      <c r="H18" s="91">
        <v>-19.788588000000004</v>
      </c>
      <c r="I18" s="91">
        <v>-25.499108999999997</v>
      </c>
      <c r="J18" s="91">
        <v>-24.329919999999998</v>
      </c>
      <c r="K18" s="91">
        <f t="shared" si="7"/>
        <v>-87.733367000000001</v>
      </c>
      <c r="L18" s="91">
        <v>-27.209263</v>
      </c>
      <c r="M18" s="91">
        <v>-28.077520000000003</v>
      </c>
      <c r="N18" s="91">
        <v>-38.344671000000005</v>
      </c>
      <c r="O18" s="91">
        <v>0</v>
      </c>
      <c r="P18" s="91">
        <v>31.498999999999999</v>
      </c>
      <c r="Q18" s="91">
        <f t="shared" si="8"/>
        <v>-62.13245400000001</v>
      </c>
      <c r="R18" s="91">
        <v>-25.870825999999969</v>
      </c>
      <c r="S18" s="91">
        <v>-49.438473999999999</v>
      </c>
      <c r="T18" s="91">
        <v>-76.945284999999998</v>
      </c>
      <c r="V18" s="108"/>
    </row>
    <row r="19" spans="1:24" customFormat="1" x14ac:dyDescent="0.25">
      <c r="A19" s="5" t="s">
        <v>120</v>
      </c>
      <c r="B19" s="94"/>
      <c r="C19" s="94"/>
      <c r="D19" s="94"/>
      <c r="E19" s="94"/>
      <c r="F19" s="94"/>
      <c r="G19" s="94">
        <v>25.134027999999901</v>
      </c>
      <c r="H19" s="94">
        <v>34.062131999999998</v>
      </c>
      <c r="I19" s="94">
        <v>11.131971999999999</v>
      </c>
      <c r="J19" s="94">
        <v>54.628531000000002</v>
      </c>
      <c r="K19" s="94">
        <f t="shared" si="7"/>
        <v>124.95666299999991</v>
      </c>
      <c r="L19" s="94">
        <v>31.044060000000002</v>
      </c>
      <c r="M19" s="94">
        <v>115.569794</v>
      </c>
      <c r="N19" s="94">
        <v>25.088716000000002</v>
      </c>
      <c r="O19" s="94">
        <v>0</v>
      </c>
      <c r="P19" s="94">
        <v>-28.931000000000001</v>
      </c>
      <c r="Q19" s="94">
        <f t="shared" si="8"/>
        <v>142.77157</v>
      </c>
      <c r="R19" s="94">
        <v>0</v>
      </c>
      <c r="S19" s="94">
        <v>0</v>
      </c>
      <c r="T19" s="94">
        <v>0</v>
      </c>
      <c r="V19" s="108"/>
      <c r="W19" s="14"/>
    </row>
    <row r="20" spans="1:24" x14ac:dyDescent="0.25">
      <c r="A20" s="6" t="s">
        <v>122</v>
      </c>
      <c r="B20" s="95">
        <f>+SUM(B13:B19)</f>
        <v>515.20626600000003</v>
      </c>
      <c r="C20" s="95">
        <f t="shared" ref="C20:O20" si="10">+SUM(C13:C19)</f>
        <v>665.83906899999988</v>
      </c>
      <c r="D20" s="95">
        <f t="shared" si="10"/>
        <v>496.30452700000012</v>
      </c>
      <c r="E20" s="95">
        <f t="shared" si="10"/>
        <v>667.43495199999984</v>
      </c>
      <c r="F20" s="95">
        <f t="shared" si="10"/>
        <v>2344.7848140000001</v>
      </c>
      <c r="G20" s="95">
        <f t="shared" si="10"/>
        <v>660.07518499999992</v>
      </c>
      <c r="H20" s="95">
        <f t="shared" si="10"/>
        <v>845.67944300000011</v>
      </c>
      <c r="I20" s="95">
        <f t="shared" si="10"/>
        <v>652.90290099999993</v>
      </c>
      <c r="J20" s="95">
        <f t="shared" si="10"/>
        <v>1006.0460277407902</v>
      </c>
      <c r="K20" s="95">
        <f t="shared" si="10"/>
        <v>3164.7035567407902</v>
      </c>
      <c r="L20" s="95">
        <f>+SUM(L13:L19)</f>
        <v>959.85816399999999</v>
      </c>
      <c r="M20" s="95">
        <f t="shared" si="10"/>
        <v>1245.1163180000001</v>
      </c>
      <c r="N20" s="95">
        <f>+SUM(N13:N19)</f>
        <v>1017.6373509999999</v>
      </c>
      <c r="O20" s="95">
        <f t="shared" si="10"/>
        <v>0</v>
      </c>
      <c r="P20" s="95">
        <f t="shared" ref="P20:Q20" si="11">+SUM(P13:P19)</f>
        <v>1272.9519999999998</v>
      </c>
      <c r="Q20" s="95">
        <f t="shared" si="11"/>
        <v>4495.5638330000002</v>
      </c>
      <c r="R20" s="95">
        <f t="shared" ref="R20" si="12">+SUM(R13:R19)</f>
        <v>1257.7425410000001</v>
      </c>
      <c r="S20" s="95">
        <f t="shared" ref="S20:T20" si="13">+SUM(S13:S19)</f>
        <v>1532.5497169999999</v>
      </c>
      <c r="T20" s="95">
        <f t="shared" si="13"/>
        <v>1259.8600730000001</v>
      </c>
      <c r="V20" s="108"/>
      <c r="X20" s="108"/>
    </row>
    <row r="21" spans="1:24" x14ac:dyDescent="0.25">
      <c r="A21" s="26" t="s">
        <v>28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V21" s="108"/>
    </row>
    <row r="22" spans="1:24" x14ac:dyDescent="0.25">
      <c r="A22" s="5" t="s">
        <v>114</v>
      </c>
      <c r="B22" s="91">
        <v>94.419922999999997</v>
      </c>
      <c r="C22" s="91">
        <v>143.57572300000001</v>
      </c>
      <c r="D22" s="91">
        <v>66.813046</v>
      </c>
      <c r="E22" s="91">
        <v>110.35806399999996</v>
      </c>
      <c r="F22" s="91">
        <f>+SUM(B22:E22)</f>
        <v>415.16675599999996</v>
      </c>
      <c r="G22" s="91">
        <v>123.36383599999999</v>
      </c>
      <c r="H22" s="91">
        <v>155.966534</v>
      </c>
      <c r="I22" s="91">
        <v>102.899</v>
      </c>
      <c r="J22" s="91">
        <v>152.71209774079</v>
      </c>
      <c r="K22" s="91">
        <f t="shared" ref="K22:K28" si="14">G22+H22+I22+J22</f>
        <v>534.94146774079002</v>
      </c>
      <c r="L22" s="91">
        <v>148.87603200000001</v>
      </c>
      <c r="M22" s="91">
        <v>179.98044999999996</v>
      </c>
      <c r="N22" s="91">
        <v>105.745791</v>
      </c>
      <c r="O22" s="91">
        <v>-9.2151959999999917</v>
      </c>
      <c r="P22" s="91">
        <v>174.601</v>
      </c>
      <c r="Q22" s="91">
        <f t="shared" ref="Q22:Q28" si="15">P22+N22+M22+O22+L22</f>
        <v>599.98807699999998</v>
      </c>
      <c r="R22" s="91">
        <v>176.695762</v>
      </c>
      <c r="S22" s="91">
        <v>157.68278000000004</v>
      </c>
      <c r="T22" s="91">
        <v>139.799871</v>
      </c>
      <c r="V22" s="108"/>
    </row>
    <row r="23" spans="1:24" x14ac:dyDescent="0.25">
      <c r="A23" s="5" t="s">
        <v>115</v>
      </c>
      <c r="B23" s="91">
        <v>-10.963715000000002</v>
      </c>
      <c r="C23" s="91">
        <v>27.424024999999993</v>
      </c>
      <c r="D23" s="91">
        <v>8.0718860000000028</v>
      </c>
      <c r="E23" s="91">
        <v>30.752978999999971</v>
      </c>
      <c r="F23" s="91">
        <f t="shared" ref="F23:F26" si="16">+SUM(B23:E23)</f>
        <v>55.285174999999967</v>
      </c>
      <c r="G23" s="91">
        <v>-4.6907999999995807E-2</v>
      </c>
      <c r="H23" s="91">
        <v>54.758382999999981</v>
      </c>
      <c r="I23" s="91">
        <v>2.9220130000000135</v>
      </c>
      <c r="J23" s="91">
        <v>60.299990000000022</v>
      </c>
      <c r="K23" s="91">
        <f t="shared" si="14"/>
        <v>117.93347800000002</v>
      </c>
      <c r="L23" s="91">
        <v>12.073532000000014</v>
      </c>
      <c r="M23" s="91">
        <v>64.04658299999997</v>
      </c>
      <c r="N23" s="91">
        <v>1.8917529999999965</v>
      </c>
      <c r="O23" s="91">
        <v>-6.7509099999999478</v>
      </c>
      <c r="P23" s="91">
        <v>60.302999999999997</v>
      </c>
      <c r="Q23" s="91">
        <f t="shared" si="15"/>
        <v>131.56395800000001</v>
      </c>
      <c r="R23" s="91">
        <v>17.734558000000003</v>
      </c>
      <c r="S23" s="91">
        <v>85.677405999999991</v>
      </c>
      <c r="T23" s="91">
        <v>22.695461999999999</v>
      </c>
      <c r="V23" s="108"/>
    </row>
    <row r="24" spans="1:24" x14ac:dyDescent="0.25">
      <c r="A24" s="5" t="s">
        <v>116</v>
      </c>
      <c r="B24" s="91">
        <v>-4.5809610000000012</v>
      </c>
      <c r="C24" s="91">
        <v>32.076243000000005</v>
      </c>
      <c r="D24" s="91">
        <v>2.9133329999999988</v>
      </c>
      <c r="E24" s="91">
        <v>16.032852000000009</v>
      </c>
      <c r="F24" s="91">
        <f t="shared" si="16"/>
        <v>46.44146700000001</v>
      </c>
      <c r="G24" s="91">
        <v>1.655786999999993</v>
      </c>
      <c r="H24" s="91">
        <v>61.913146999999995</v>
      </c>
      <c r="I24" s="91">
        <v>-5.2201599999999964</v>
      </c>
      <c r="J24" s="91">
        <v>56.806544999999993</v>
      </c>
      <c r="K24" s="91">
        <f t="shared" si="14"/>
        <v>115.15531899999999</v>
      </c>
      <c r="L24" s="91">
        <v>33.581112000000019</v>
      </c>
      <c r="M24" s="91">
        <v>111.86380599999998</v>
      </c>
      <c r="N24" s="91">
        <v>65.734940000000009</v>
      </c>
      <c r="O24" s="91">
        <v>-2.2099310000000969</v>
      </c>
      <c r="P24" s="91">
        <v>60.42</v>
      </c>
      <c r="Q24" s="91">
        <f t="shared" si="15"/>
        <v>269.38992699999994</v>
      </c>
      <c r="R24" s="91">
        <v>33.460309000000002</v>
      </c>
      <c r="S24" s="91">
        <v>43.468614000000002</v>
      </c>
      <c r="T24" s="91">
        <v>52.614338999999966</v>
      </c>
      <c r="V24" s="108"/>
    </row>
    <row r="25" spans="1:24" x14ac:dyDescent="0.25">
      <c r="A25" s="5" t="s">
        <v>117</v>
      </c>
      <c r="B25" s="91">
        <v>-10.238804</v>
      </c>
      <c r="C25" s="91">
        <v>-0.36259000000000013</v>
      </c>
      <c r="D25" s="91">
        <v>5.1578970000000002</v>
      </c>
      <c r="E25" s="91">
        <v>9.1374645023640007</v>
      </c>
      <c r="F25" s="91">
        <f t="shared" si="16"/>
        <v>3.693967502364</v>
      </c>
      <c r="G25" s="91">
        <v>-0.26054500000000097</v>
      </c>
      <c r="H25" s="91">
        <v>16.248995999999995</v>
      </c>
      <c r="I25" s="91">
        <v>9.6402020000000057</v>
      </c>
      <c r="J25" s="91">
        <v>10.735774000000008</v>
      </c>
      <c r="K25" s="91">
        <f t="shared" si="14"/>
        <v>36.364427000000006</v>
      </c>
      <c r="L25" s="91">
        <v>6.8506380000000009</v>
      </c>
      <c r="M25" s="91">
        <v>30.376178000000014</v>
      </c>
      <c r="N25" s="91">
        <v>-16.561475999999999</v>
      </c>
      <c r="O25" s="91">
        <v>-4.5705880000000114</v>
      </c>
      <c r="P25" s="91">
        <v>13.329000000000001</v>
      </c>
      <c r="Q25" s="91">
        <f t="shared" si="15"/>
        <v>29.423752000000004</v>
      </c>
      <c r="R25" s="91">
        <v>-8.7954319999999981</v>
      </c>
      <c r="S25" s="91">
        <v>9.8207820000000048</v>
      </c>
      <c r="T25" s="91">
        <v>-12.281293999999995</v>
      </c>
      <c r="V25" s="108"/>
    </row>
    <row r="26" spans="1:24" x14ac:dyDescent="0.25">
      <c r="A26" s="5" t="s">
        <v>118</v>
      </c>
      <c r="B26" s="91">
        <v>-28.034633000000003</v>
      </c>
      <c r="C26" s="91">
        <v>-31.526400999999996</v>
      </c>
      <c r="D26" s="91">
        <v>-19.003135999999998</v>
      </c>
      <c r="E26" s="91">
        <v>-29.121308000000006</v>
      </c>
      <c r="F26" s="91">
        <f t="shared" si="16"/>
        <v>-107.68547799999999</v>
      </c>
      <c r="G26" s="91">
        <v>-31.683335999999997</v>
      </c>
      <c r="H26" s="91">
        <v>-33.03988600000001</v>
      </c>
      <c r="I26" s="91">
        <v>-28.878308999999994</v>
      </c>
      <c r="J26" s="91">
        <v>-55.893862000000006</v>
      </c>
      <c r="K26" s="91">
        <f t="shared" si="14"/>
        <v>-149.49539300000001</v>
      </c>
      <c r="L26" s="91">
        <v>-55.393981999999994</v>
      </c>
      <c r="M26" s="91">
        <v>-56.706932000000023</v>
      </c>
      <c r="N26" s="91">
        <v>-29.366612079970945</v>
      </c>
      <c r="O26" s="91">
        <v>22.745952079970948</v>
      </c>
      <c r="P26" s="91">
        <v>-21.712</v>
      </c>
      <c r="Q26" s="91">
        <f t="shared" si="15"/>
        <v>-140.43357400000002</v>
      </c>
      <c r="R26" s="91">
        <v>-34.268768000000009</v>
      </c>
      <c r="S26" s="91">
        <v>54.834776924308009</v>
      </c>
      <c r="T26" s="91">
        <v>-60.281659999999995</v>
      </c>
      <c r="V26" s="108"/>
    </row>
    <row r="27" spans="1:24" x14ac:dyDescent="0.25">
      <c r="A27" s="5" t="s">
        <v>119</v>
      </c>
      <c r="B27" s="91">
        <v>0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f t="shared" si="14"/>
        <v>0</v>
      </c>
      <c r="L27" s="91">
        <v>0</v>
      </c>
      <c r="M27" s="91">
        <v>0</v>
      </c>
      <c r="N27" s="91">
        <v>0</v>
      </c>
      <c r="O27" s="91"/>
      <c r="P27" s="91">
        <v>0</v>
      </c>
      <c r="Q27" s="91">
        <f t="shared" si="15"/>
        <v>0</v>
      </c>
      <c r="R27" s="91">
        <v>0</v>
      </c>
      <c r="S27" s="91">
        <v>0</v>
      </c>
      <c r="T27" s="91">
        <v>0</v>
      </c>
      <c r="V27" s="108"/>
    </row>
    <row r="28" spans="1:24" x14ac:dyDescent="0.25">
      <c r="A28" s="5" t="s">
        <v>120</v>
      </c>
      <c r="B28" s="97"/>
      <c r="C28" s="97"/>
      <c r="D28" s="97"/>
      <c r="E28" s="97"/>
      <c r="F28" s="97"/>
      <c r="G28" s="97">
        <v>22.69</v>
      </c>
      <c r="H28" s="97">
        <v>-4.1621771322122703</v>
      </c>
      <c r="I28" s="97">
        <v>-11.6069559231347</v>
      </c>
      <c r="J28" s="97">
        <v>-18.248613810736</v>
      </c>
      <c r="K28" s="97">
        <f t="shared" si="14"/>
        <v>-11.32774686608297</v>
      </c>
      <c r="L28" s="97">
        <v>-22.976596499999999</v>
      </c>
      <c r="M28" s="97">
        <v>15.5807383574115</v>
      </c>
      <c r="N28" s="97">
        <v>-14.387780078685999</v>
      </c>
      <c r="O28" s="97"/>
      <c r="P28" s="97">
        <v>-28.931000000000001</v>
      </c>
      <c r="Q28" s="97">
        <f t="shared" si="15"/>
        <v>-50.714638221274505</v>
      </c>
      <c r="R28" s="97">
        <v>0</v>
      </c>
      <c r="S28" s="97">
        <v>0</v>
      </c>
      <c r="T28" s="97">
        <v>0</v>
      </c>
      <c r="V28" s="108"/>
    </row>
    <row r="29" spans="1:24" x14ac:dyDescent="0.25">
      <c r="A29" s="6" t="s">
        <v>123</v>
      </c>
      <c r="B29" s="95">
        <f>+SUM(B22:B28)</f>
        <v>40.601809999999986</v>
      </c>
      <c r="C29" s="95">
        <f t="shared" ref="C29:O29" si="17">+SUM(C22:C28)</f>
        <v>171.18700000000001</v>
      </c>
      <c r="D29" s="95">
        <f t="shared" si="17"/>
        <v>63.953026000000008</v>
      </c>
      <c r="E29" s="95">
        <f t="shared" si="17"/>
        <v>137.16005150236396</v>
      </c>
      <c r="F29" s="95">
        <f t="shared" si="17"/>
        <v>412.90188750236393</v>
      </c>
      <c r="G29" s="95">
        <f t="shared" si="17"/>
        <v>115.71883399999997</v>
      </c>
      <c r="H29" s="95">
        <f t="shared" si="17"/>
        <v>251.68499686778767</v>
      </c>
      <c r="I29" s="95">
        <f t="shared" si="17"/>
        <v>69.75579007686531</v>
      </c>
      <c r="J29" s="95">
        <f t="shared" si="17"/>
        <v>206.41193093005398</v>
      </c>
      <c r="K29" s="95">
        <f t="shared" si="17"/>
        <v>643.57155187470698</v>
      </c>
      <c r="L29" s="95">
        <f t="shared" si="17"/>
        <v>123.01073550000004</v>
      </c>
      <c r="M29" s="95">
        <f t="shared" si="17"/>
        <v>345.14082335741148</v>
      </c>
      <c r="N29" s="95">
        <f t="shared" si="17"/>
        <v>113.05661584134305</v>
      </c>
      <c r="O29" s="95">
        <f t="shared" si="17"/>
        <v>-6.7292002909979942E-4</v>
      </c>
      <c r="P29" s="95">
        <f t="shared" ref="P29:Q29" si="18">+SUM(P22:P28)</f>
        <v>258.01000000000005</v>
      </c>
      <c r="Q29" s="95">
        <f t="shared" si="18"/>
        <v>839.21750177872525</v>
      </c>
      <c r="R29" s="95">
        <f t="shared" ref="R29" si="19">+SUM(R22:R28)</f>
        <v>184.82642899999996</v>
      </c>
      <c r="S29" s="95">
        <f t="shared" ref="S29:T29" si="20">+SUM(S22:S28)</f>
        <v>351.48435892430803</v>
      </c>
      <c r="T29" s="95">
        <f t="shared" si="20"/>
        <v>142.54671799999997</v>
      </c>
      <c r="V29" s="108"/>
      <c r="X29" s="108"/>
    </row>
    <row r="30" spans="1:24" x14ac:dyDescent="0.25">
      <c r="J30" s="31"/>
      <c r="K30" s="31"/>
      <c r="L30" s="31"/>
      <c r="M30" s="31"/>
      <c r="N30" s="31"/>
      <c r="O30" s="31"/>
      <c r="P30" s="31"/>
      <c r="Q30" s="31"/>
    </row>
    <row r="31" spans="1:24" s="28" customFormat="1" x14ac:dyDescent="0.25">
      <c r="B31" s="32"/>
      <c r="C31" s="32"/>
      <c r="D31" s="32"/>
      <c r="E31" s="32"/>
      <c r="F31" s="32"/>
      <c r="G31" s="32"/>
      <c r="H31" s="32"/>
      <c r="I31" s="31"/>
      <c r="J31" s="31"/>
      <c r="K31" s="31"/>
      <c r="L31" s="31"/>
      <c r="M31" s="71"/>
      <c r="N31" s="31"/>
      <c r="O31" s="71"/>
      <c r="Q31" s="31"/>
      <c r="T31" s="111"/>
      <c r="U31" s="111"/>
      <c r="V31" s="112"/>
    </row>
    <row r="32" spans="1:24" s="28" customFormat="1" x14ac:dyDescent="0.25">
      <c r="B32" s="33"/>
      <c r="C32" s="33"/>
      <c r="D32" s="33"/>
      <c r="E32" s="33"/>
      <c r="F32" s="33"/>
      <c r="G32" s="33"/>
      <c r="H32" s="33"/>
      <c r="I32" s="33"/>
      <c r="J32" s="31"/>
      <c r="K32" s="31"/>
      <c r="L32" s="31"/>
      <c r="M32" s="31"/>
      <c r="N32" s="31"/>
      <c r="O32" s="31"/>
      <c r="Q32" s="31"/>
    </row>
    <row r="33" spans="2:17" s="28" customFormat="1" x14ac:dyDescent="0.2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Q33" s="33"/>
    </row>
    <row r="34" spans="2:17" s="28" customFormat="1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2:17" s="28" customFormat="1" x14ac:dyDescent="0.25"/>
    <row r="36" spans="2:17" s="28" customFormat="1" x14ac:dyDescent="0.25"/>
    <row r="37" spans="2:17" s="28" customFormat="1" x14ac:dyDescent="0.25"/>
    <row r="38" spans="2:17" s="28" customFormat="1" x14ac:dyDescent="0.25"/>
    <row r="39" spans="2:17" s="28" customFormat="1" x14ac:dyDescent="0.25"/>
    <row r="40" spans="2:17" s="28" customFormat="1" x14ac:dyDescent="0.25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2:17" s="28" customFormat="1" x14ac:dyDescent="0.25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2:17" s="28" customFormat="1" x14ac:dyDescent="0.2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2:17" s="28" customFormat="1" x14ac:dyDescent="0.25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2:17" s="28" customFormat="1" x14ac:dyDescent="0.2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2:17" s="28" customFormat="1" x14ac:dyDescent="0.2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2:17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2:17" x14ac:dyDescent="0.2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1980-9C27-431E-AF51-EFFBCD83287E}">
  <sheetPr codeName="Sheet5"/>
  <dimension ref="A1:AR177"/>
  <sheetViews>
    <sheetView showGridLines="0" workbookViewId="0">
      <pane xSplit="1" topLeftCell="D1" activePane="topRight" state="frozen"/>
      <selection activeCell="AG36" sqref="AG36"/>
      <selection pane="topRight" activeCell="M31" sqref="M31"/>
    </sheetView>
  </sheetViews>
  <sheetFormatPr defaultColWidth="9.28515625" defaultRowHeight="15" x14ac:dyDescent="0.25"/>
  <cols>
    <col min="1" max="1" width="23.28515625" bestFit="1" customWidth="1"/>
    <col min="2" max="6" width="6.85546875" customWidth="1"/>
    <col min="7" max="19" width="11" customWidth="1"/>
    <col min="20" max="20" width="11" style="14" customWidth="1"/>
    <col min="21" max="21" width="13.42578125" style="14" customWidth="1"/>
    <col min="22" max="23" width="9.5703125" style="14" bestFit="1" customWidth="1"/>
    <col min="24" max="24" width="15.42578125" style="14" bestFit="1" customWidth="1"/>
    <col min="25" max="25" width="14.28515625" style="14" bestFit="1" customWidth="1"/>
    <col min="26" max="26" width="11.140625" style="14" customWidth="1"/>
    <col min="27" max="44" width="9.28515625" style="14" customWidth="1"/>
  </cols>
  <sheetData>
    <row r="1" spans="1:26" x14ac:dyDescent="0.25">
      <c r="A1" s="9" t="s">
        <v>0</v>
      </c>
      <c r="B1" s="123" t="s">
        <v>13</v>
      </c>
      <c r="C1" s="123" t="s">
        <v>14</v>
      </c>
      <c r="D1" s="123" t="s">
        <v>15</v>
      </c>
      <c r="E1" s="123" t="s">
        <v>16</v>
      </c>
      <c r="F1" s="123">
        <v>2020</v>
      </c>
      <c r="G1" s="7" t="s">
        <v>150</v>
      </c>
      <c r="H1" s="7" t="s">
        <v>149</v>
      </c>
      <c r="I1" s="7" t="s">
        <v>148</v>
      </c>
      <c r="J1" s="7" t="s">
        <v>147</v>
      </c>
      <c r="K1" s="7">
        <v>2021</v>
      </c>
      <c r="L1" s="7" t="s">
        <v>146</v>
      </c>
      <c r="M1" s="7" t="s">
        <v>144</v>
      </c>
      <c r="N1" s="7" t="s">
        <v>145</v>
      </c>
      <c r="O1" s="7" t="s">
        <v>112</v>
      </c>
      <c r="P1" s="7" t="s">
        <v>17</v>
      </c>
      <c r="Q1" s="7">
        <v>2022</v>
      </c>
      <c r="R1" s="7" t="s">
        <v>18</v>
      </c>
      <c r="S1" s="7" t="s">
        <v>151</v>
      </c>
      <c r="T1" s="7" t="s">
        <v>154</v>
      </c>
    </row>
    <row r="2" spans="1:26" x14ac:dyDescent="0.25">
      <c r="A2" s="26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6" x14ac:dyDescent="0.25">
      <c r="A3" s="5" t="s">
        <v>124</v>
      </c>
      <c r="B3" s="98">
        <v>183.69376</v>
      </c>
      <c r="C3" s="98">
        <v>294.70221800000093</v>
      </c>
      <c r="D3" s="98">
        <v>166.05381399999919</v>
      </c>
      <c r="E3" s="98">
        <v>267.3555019999996</v>
      </c>
      <c r="F3" s="98">
        <f t="shared" ref="F3:F8" si="0">+SUM(B3:E3)</f>
        <v>911.80529399999978</v>
      </c>
      <c r="G3" s="98">
        <v>221.21370300000009</v>
      </c>
      <c r="H3" s="98">
        <v>347.38706800000057</v>
      </c>
      <c r="I3" s="98">
        <v>201.50737200000017</v>
      </c>
      <c r="J3" s="98">
        <v>341.90025900000035</v>
      </c>
      <c r="K3" s="98">
        <v>1112.0084019999999</v>
      </c>
      <c r="L3" s="98">
        <v>261.82103300000006</v>
      </c>
      <c r="M3" s="98">
        <v>429.54910000000069</v>
      </c>
      <c r="N3" s="98">
        <v>328.67755799999929</v>
      </c>
      <c r="O3" s="98">
        <v>-2.7455999999801861E-2</v>
      </c>
      <c r="P3" s="98">
        <v>408.19400000000002</v>
      </c>
      <c r="Q3" s="98">
        <f t="shared" ref="Q3:Q9" si="1">P3+N3+M3+O3+L3</f>
        <v>1428.2142350000004</v>
      </c>
      <c r="R3" s="98">
        <v>402.29493400000013</v>
      </c>
      <c r="S3" s="98">
        <v>559.79751699999997</v>
      </c>
      <c r="T3" s="98">
        <v>393.26361800000006</v>
      </c>
      <c r="U3" s="113"/>
      <c r="V3" s="108"/>
      <c r="W3" s="76"/>
      <c r="Z3" s="76"/>
    </row>
    <row r="4" spans="1:26" x14ac:dyDescent="0.25">
      <c r="A4" s="5" t="s">
        <v>125</v>
      </c>
      <c r="B4" s="98">
        <v>73.597248999999991</v>
      </c>
      <c r="C4" s="98">
        <v>83.604680999999914</v>
      </c>
      <c r="D4" s="98">
        <v>78.627586999999906</v>
      </c>
      <c r="E4" s="98">
        <v>89.3819330000006</v>
      </c>
      <c r="F4" s="98">
        <f t="shared" si="0"/>
        <v>325.21145000000035</v>
      </c>
      <c r="G4" s="98">
        <v>86.547923000000068</v>
      </c>
      <c r="H4" s="98">
        <v>87.0927030000001</v>
      </c>
      <c r="I4" s="98">
        <v>94.438631999999757</v>
      </c>
      <c r="J4" s="98">
        <v>177.51826000000037</v>
      </c>
      <c r="K4" s="98">
        <v>445.59751800000026</v>
      </c>
      <c r="L4" s="98">
        <v>196.49753799999999</v>
      </c>
      <c r="M4" s="98">
        <v>231.16988100000034</v>
      </c>
      <c r="N4" s="98">
        <v>222.57526100000018</v>
      </c>
      <c r="O4" s="98">
        <v>-1.8200000067736255E-4</v>
      </c>
      <c r="P4" s="98">
        <v>257.43900000000002</v>
      </c>
      <c r="Q4" s="98">
        <f t="shared" si="1"/>
        <v>907.68149799999981</v>
      </c>
      <c r="R4" s="98">
        <f>256.527199+6.493688</f>
        <v>263.02088700000002</v>
      </c>
      <c r="S4" s="98">
        <v>253.25731400000001</v>
      </c>
      <c r="T4" s="98">
        <v>292.015804</v>
      </c>
      <c r="U4" s="113"/>
      <c r="V4" s="108"/>
      <c r="W4" s="75"/>
      <c r="Z4" s="76"/>
    </row>
    <row r="5" spans="1:26" x14ac:dyDescent="0.25">
      <c r="A5" s="5" t="s">
        <v>126</v>
      </c>
      <c r="B5" s="98">
        <v>115.85647800000001</v>
      </c>
      <c r="C5" s="98">
        <v>123.23677499999997</v>
      </c>
      <c r="D5" s="98">
        <v>131.28584600000008</v>
      </c>
      <c r="E5" s="98">
        <v>156.40625399999996</v>
      </c>
      <c r="F5" s="98">
        <f t="shared" si="0"/>
        <v>526.78535299999999</v>
      </c>
      <c r="G5" s="98">
        <v>136.55865100000003</v>
      </c>
      <c r="H5" s="98">
        <v>156.55133699999999</v>
      </c>
      <c r="I5" s="98">
        <v>150.12444799999997</v>
      </c>
      <c r="J5" s="98">
        <v>205.74796900000004</v>
      </c>
      <c r="K5" s="98">
        <v>648.98240500000009</v>
      </c>
      <c r="L5" s="98">
        <v>151.22130300000001</v>
      </c>
      <c r="M5" s="98">
        <v>177.56797999999998</v>
      </c>
      <c r="N5" s="98">
        <v>173.66001199999999</v>
      </c>
      <c r="O5" s="98">
        <v>5.3516859999999724</v>
      </c>
      <c r="P5" s="98">
        <v>234.56399999999999</v>
      </c>
      <c r="Q5" s="98">
        <f t="shared" si="1"/>
        <v>742.36498099999994</v>
      </c>
      <c r="R5" s="98">
        <v>215.35563300000001</v>
      </c>
      <c r="S5" s="98">
        <v>223.28224</v>
      </c>
      <c r="T5" s="98">
        <v>208.124054</v>
      </c>
      <c r="U5" s="113"/>
      <c r="V5" s="108"/>
      <c r="W5" s="75"/>
      <c r="Z5" s="76"/>
    </row>
    <row r="6" spans="1:26" x14ac:dyDescent="0.25">
      <c r="A6" s="5" t="s">
        <v>127</v>
      </c>
      <c r="B6" s="98">
        <v>250.20670399999997</v>
      </c>
      <c r="C6" s="98">
        <v>276.39772600000009</v>
      </c>
      <c r="D6" s="98">
        <v>213.47892299999995</v>
      </c>
      <c r="E6" s="98">
        <v>302.14719899999989</v>
      </c>
      <c r="F6" s="98">
        <f t="shared" si="0"/>
        <v>1042.230552</v>
      </c>
      <c r="G6" s="98">
        <v>302.67289699999998</v>
      </c>
      <c r="H6" s="98">
        <v>392.20724599999994</v>
      </c>
      <c r="I6" s="98">
        <v>349.79338399999983</v>
      </c>
      <c r="J6" s="98">
        <v>505.09869400000014</v>
      </c>
      <c r="K6" s="98">
        <v>1549.7722209999997</v>
      </c>
      <c r="L6" s="98">
        <v>500.05203699999998</v>
      </c>
      <c r="M6" s="98">
        <v>547.48031800000001</v>
      </c>
      <c r="N6" s="98">
        <v>498.98210699999998</v>
      </c>
      <c r="O6" s="98">
        <v>2.5681710000003477</v>
      </c>
      <c r="P6" s="98">
        <v>600.46699999999998</v>
      </c>
      <c r="Q6" s="98">
        <f t="shared" si="1"/>
        <v>2149.5496330000001</v>
      </c>
      <c r="R6" s="98">
        <v>594.17774699999995</v>
      </c>
      <c r="S6" s="98">
        <v>654.32563500000003</v>
      </c>
      <c r="T6" s="98">
        <v>655.56328800000017</v>
      </c>
      <c r="U6" s="113"/>
      <c r="V6" s="108"/>
      <c r="W6" s="75"/>
      <c r="Z6" s="76"/>
    </row>
    <row r="7" spans="1:26" x14ac:dyDescent="0.25">
      <c r="A7" s="5" t="s">
        <v>128</v>
      </c>
      <c r="B7" s="98">
        <v>24.025023000000001</v>
      </c>
      <c r="C7" s="98">
        <v>30.668663999999996</v>
      </c>
      <c r="D7" s="98">
        <v>17.629173000000016</v>
      </c>
      <c r="E7" s="98">
        <v>3.3164539999999834</v>
      </c>
      <c r="F7" s="98">
        <f t="shared" si="0"/>
        <v>75.639313999999999</v>
      </c>
      <c r="G7" s="98">
        <v>52.771393000000003</v>
      </c>
      <c r="H7" s="98">
        <v>47.278937999999997</v>
      </c>
      <c r="I7" s="98">
        <v>37.750138000000007</v>
      </c>
      <c r="J7" s="98">
        <v>60.653551999999991</v>
      </c>
      <c r="K7" s="98">
        <v>198.45402100000001</v>
      </c>
      <c r="L7" s="98">
        <v>71.510842999999994</v>
      </c>
      <c r="M7" s="98">
        <v>154.62277900000001</v>
      </c>
      <c r="N7" s="98">
        <v>54.476772999999994</v>
      </c>
      <c r="O7" s="98">
        <v>7.6359420000000613</v>
      </c>
      <c r="P7" s="98">
        <v>43.981662999999998</v>
      </c>
      <c r="Q7" s="98">
        <f t="shared" si="1"/>
        <v>332.22800000000007</v>
      </c>
      <c r="R7" s="98">
        <v>72.488973999999999</v>
      </c>
      <c r="S7" s="98">
        <v>185.40845300000001</v>
      </c>
      <c r="T7" s="98">
        <v>75.088021999999995</v>
      </c>
      <c r="U7" s="113"/>
      <c r="V7" s="108"/>
      <c r="W7" s="75"/>
      <c r="X7" s="76"/>
      <c r="Z7" s="76"/>
    </row>
    <row r="8" spans="1:26" x14ac:dyDescent="0.25">
      <c r="A8" s="5" t="s">
        <v>119</v>
      </c>
      <c r="B8" s="98">
        <v>-44.878326000000001</v>
      </c>
      <c r="C8" s="98">
        <v>-49.530746999999977</v>
      </c>
      <c r="D8" s="98">
        <v>-41.739585000000019</v>
      </c>
      <c r="E8" s="98">
        <v>-57.17478999999998</v>
      </c>
      <c r="F8" s="98">
        <f t="shared" si="0"/>
        <v>-193.32344799999998</v>
      </c>
      <c r="G8" s="98">
        <v>-63.834741000000001</v>
      </c>
      <c r="H8" s="98">
        <v>-56.044302999999978</v>
      </c>
      <c r="I8" s="98">
        <v>-72.075640000000035</v>
      </c>
      <c r="J8" s="98">
        <v>-104.07268000974308</v>
      </c>
      <c r="K8" s="98">
        <v>-296.02736400974311</v>
      </c>
      <c r="L8" s="98">
        <v>-109.93064991811762</v>
      </c>
      <c r="M8" s="98">
        <v>-124.63503608188233</v>
      </c>
      <c r="N8" s="98">
        <v>-72.353204999999704</v>
      </c>
      <c r="O8" s="98">
        <v>-15.555689000003667</v>
      </c>
      <c r="P8" s="98">
        <v>-38.002419999996647</v>
      </c>
      <c r="Q8" s="98">
        <f t="shared" si="1"/>
        <v>-360.47699999999998</v>
      </c>
      <c r="R8" s="98">
        <v>-131.07258899999999</v>
      </c>
      <c r="S8" s="98">
        <v>-160.64880000000002</v>
      </c>
      <c r="T8" s="98">
        <v>-163.99108599999994</v>
      </c>
      <c r="U8" s="113"/>
      <c r="V8" s="75"/>
      <c r="W8" s="75"/>
      <c r="Z8" s="76"/>
    </row>
    <row r="9" spans="1:26" x14ac:dyDescent="0.25">
      <c r="A9" s="5" t="s">
        <v>27</v>
      </c>
      <c r="B9" s="98">
        <v>0</v>
      </c>
      <c r="C9" s="98">
        <v>0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/>
      <c r="P9" s="98">
        <v>0</v>
      </c>
      <c r="Q9" s="98">
        <f t="shared" si="1"/>
        <v>0</v>
      </c>
      <c r="R9" s="98">
        <v>0</v>
      </c>
      <c r="S9" s="98"/>
      <c r="T9" s="98">
        <v>0</v>
      </c>
      <c r="U9" s="113"/>
      <c r="V9" s="75"/>
      <c r="W9" s="75"/>
      <c r="Z9" s="76"/>
    </row>
    <row r="10" spans="1:26" x14ac:dyDescent="0.25">
      <c r="A10" s="6" t="s">
        <v>121</v>
      </c>
      <c r="B10" s="99">
        <f t="shared" ref="B10:F10" si="2">+SUM(B3:B9)</f>
        <v>602.50088799999992</v>
      </c>
      <c r="C10" s="99">
        <f t="shared" si="2"/>
        <v>759.07931700000086</v>
      </c>
      <c r="D10" s="99">
        <f t="shared" si="2"/>
        <v>565.33575799999903</v>
      </c>
      <c r="E10" s="99">
        <f t="shared" si="2"/>
        <v>761.4325520000001</v>
      </c>
      <c r="F10" s="99">
        <f t="shared" si="2"/>
        <v>2688.3485149999997</v>
      </c>
      <c r="G10" s="99">
        <f t="shared" ref="G10" si="3">+SUM(G3:G9)</f>
        <v>735.92982600000016</v>
      </c>
      <c r="H10" s="99">
        <f t="shared" ref="H10" si="4">+SUM(H3:H9)</f>
        <v>974.47298900000044</v>
      </c>
      <c r="I10" s="99">
        <f t="shared" ref="I10" si="5">+SUM(I3:I9)</f>
        <v>761.53833399999974</v>
      </c>
      <c r="J10" s="99">
        <f t="shared" ref="J10" si="6">+SUM(J3:J9)</f>
        <v>1186.8460539902578</v>
      </c>
      <c r="K10" s="99">
        <f>+SUM(K3:K9)</f>
        <v>3658.7872029902569</v>
      </c>
      <c r="L10" s="99">
        <f t="shared" ref="L10" si="7">+SUM(L3:L9)</f>
        <v>1071.1721040818825</v>
      </c>
      <c r="M10" s="99">
        <f t="shared" ref="M10" si="8">+SUM(M3:M9)</f>
        <v>1415.7550219181187</v>
      </c>
      <c r="N10" s="99">
        <f t="shared" ref="N10:P10" si="9">+SUM(N3:N9)</f>
        <v>1206.0185059999999</v>
      </c>
      <c r="O10" s="99">
        <f t="shared" si="9"/>
        <v>-2.7528000003766095E-2</v>
      </c>
      <c r="P10" s="99">
        <f t="shared" si="9"/>
        <v>1506.6432430000034</v>
      </c>
      <c r="Q10" s="99">
        <f>P10+N10+M10+L10</f>
        <v>5199.5888750000049</v>
      </c>
      <c r="R10" s="99">
        <f>+SUM(R3:R9)</f>
        <v>1416.265586</v>
      </c>
      <c r="S10" s="99">
        <f>+SUM(S3:S9)</f>
        <v>1715.4223590000001</v>
      </c>
      <c r="T10" s="99">
        <f>+SUM(T3:T9)</f>
        <v>1460.0637000000002</v>
      </c>
      <c r="U10" s="113"/>
      <c r="W10" s="75"/>
      <c r="X10" s="76"/>
    </row>
    <row r="11" spans="1:26" x14ac:dyDescent="0.25">
      <c r="A11" s="26" t="s">
        <v>22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13"/>
    </row>
    <row r="12" spans="1:26" x14ac:dyDescent="0.25">
      <c r="A12" s="5" t="s">
        <v>124</v>
      </c>
      <c r="B12" s="98">
        <v>183.69376</v>
      </c>
      <c r="C12" s="98">
        <v>294.70221800000002</v>
      </c>
      <c r="D12" s="98">
        <v>166.0538139999999</v>
      </c>
      <c r="E12" s="98">
        <v>267.35550200000012</v>
      </c>
      <c r="F12" s="98">
        <f t="shared" ref="F12:F17" si="10">+SUM(B12:E12)</f>
        <v>911.805294</v>
      </c>
      <c r="G12" s="98">
        <v>221.21370300000004</v>
      </c>
      <c r="H12" s="98">
        <v>347.387068</v>
      </c>
      <c r="I12" s="98">
        <v>201.50716500000001</v>
      </c>
      <c r="J12" s="98">
        <v>341.90025737039491</v>
      </c>
      <c r="K12" s="98">
        <v>1112.008193370395</v>
      </c>
      <c r="L12" s="98">
        <v>261.821033</v>
      </c>
      <c r="M12" s="98">
        <v>429.54910000000001</v>
      </c>
      <c r="N12" s="98">
        <v>328.65009800000001</v>
      </c>
      <c r="O12" s="98">
        <v>0</v>
      </c>
      <c r="P12" s="98">
        <v>408.19400000000002</v>
      </c>
      <c r="Q12" s="98">
        <f t="shared" ref="Q12:Q16" si="11">P12+N12+M12+L12</f>
        <v>1428.2142309999999</v>
      </c>
      <c r="R12" s="98">
        <v>402.29493400000001</v>
      </c>
      <c r="S12" s="98">
        <v>559.79751699999997</v>
      </c>
      <c r="T12" s="98">
        <v>393.26461799999998</v>
      </c>
      <c r="U12" s="113"/>
      <c r="V12" s="108"/>
      <c r="W12" s="76"/>
    </row>
    <row r="13" spans="1:26" x14ac:dyDescent="0.25">
      <c r="A13" s="5" t="s">
        <v>125</v>
      </c>
      <c r="B13" s="98">
        <v>73.597248999999991</v>
      </c>
      <c r="C13" s="98">
        <v>83.604680999999999</v>
      </c>
      <c r="D13" s="98">
        <v>78.627587000000005</v>
      </c>
      <c r="E13" s="98">
        <v>89.381933000000018</v>
      </c>
      <c r="F13" s="98">
        <f t="shared" si="10"/>
        <v>325.21145000000001</v>
      </c>
      <c r="G13" s="98">
        <v>86.547923000000011</v>
      </c>
      <c r="H13" s="98">
        <v>87.092702999999986</v>
      </c>
      <c r="I13" s="98">
        <v>94.438999999999993</v>
      </c>
      <c r="J13" s="98">
        <v>177.51825937039499</v>
      </c>
      <c r="K13" s="98">
        <v>445.59788537039492</v>
      </c>
      <c r="L13" s="98">
        <v>196.49753799999999</v>
      </c>
      <c r="M13" s="98">
        <v>231.16988100000006</v>
      </c>
      <c r="N13" s="98">
        <v>222.57526100000001</v>
      </c>
      <c r="O13" s="98">
        <v>0</v>
      </c>
      <c r="P13" s="98">
        <v>257.43900000000002</v>
      </c>
      <c r="Q13" s="98">
        <f t="shared" si="11"/>
        <v>907.68168000000003</v>
      </c>
      <c r="R13" s="98">
        <f>256.527199+6.493688</f>
        <v>263.02088700000002</v>
      </c>
      <c r="S13" s="98">
        <v>253.35968700000001</v>
      </c>
      <c r="T13" s="98">
        <v>292.015804</v>
      </c>
      <c r="U13" s="113"/>
      <c r="V13" s="108"/>
    </row>
    <row r="14" spans="1:26" x14ac:dyDescent="0.25">
      <c r="A14" s="5" t="s">
        <v>126</v>
      </c>
      <c r="B14" s="98">
        <v>100.50459900000001</v>
      </c>
      <c r="C14" s="98">
        <v>113.69222599999999</v>
      </c>
      <c r="D14" s="98">
        <v>110.28369300000003</v>
      </c>
      <c r="E14" s="98">
        <v>125.70002699999995</v>
      </c>
      <c r="F14" s="98">
        <f t="shared" si="10"/>
        <v>450.18054499999994</v>
      </c>
      <c r="G14" s="98">
        <v>115.556228</v>
      </c>
      <c r="H14" s="98">
        <v>127.404212</v>
      </c>
      <c r="I14" s="98">
        <v>129.68159800000001</v>
      </c>
      <c r="J14" s="98">
        <v>156.94978800000001</v>
      </c>
      <c r="K14" s="98">
        <v>529.59182600000008</v>
      </c>
      <c r="L14" s="98">
        <v>134.47373099999999</v>
      </c>
      <c r="M14" s="98">
        <v>151.07366500000001</v>
      </c>
      <c r="N14" s="98">
        <v>154.92578800000001</v>
      </c>
      <c r="O14" s="98">
        <v>0</v>
      </c>
      <c r="P14" s="98">
        <v>188.733</v>
      </c>
      <c r="Q14" s="98">
        <f t="shared" si="11"/>
        <v>629.20618400000001</v>
      </c>
      <c r="R14" s="98">
        <v>177.16615899999999</v>
      </c>
      <c r="S14" s="98">
        <v>193.04780299999999</v>
      </c>
      <c r="T14" s="98">
        <v>180.54250400000001</v>
      </c>
      <c r="U14" s="113"/>
      <c r="V14" s="108"/>
    </row>
    <row r="15" spans="1:26" x14ac:dyDescent="0.25">
      <c r="A15" s="5" t="s">
        <v>127</v>
      </c>
      <c r="B15" s="98">
        <v>159.36197199999998</v>
      </c>
      <c r="C15" s="98">
        <v>174.24408599999998</v>
      </c>
      <c r="D15" s="98">
        <v>137.22668999999999</v>
      </c>
      <c r="E15" s="98">
        <v>184.68353900000005</v>
      </c>
      <c r="F15" s="98">
        <f t="shared" si="10"/>
        <v>655.51628699999992</v>
      </c>
      <c r="G15" s="98">
        <v>201.69612599999999</v>
      </c>
      <c r="H15" s="98">
        <v>255.099299</v>
      </c>
      <c r="I15" s="98">
        <v>213.68874499999993</v>
      </c>
      <c r="J15" s="98">
        <v>293.72780700000004</v>
      </c>
      <c r="K15" s="98">
        <v>964.21197699999993</v>
      </c>
      <c r="L15" s="98">
        <v>317.53796600000004</v>
      </c>
      <c r="M15" s="98">
        <v>314.30484599999988</v>
      </c>
      <c r="N15" s="98">
        <v>293.98639800000007</v>
      </c>
      <c r="O15" s="98">
        <v>0</v>
      </c>
      <c r="P15" s="98">
        <v>369.161</v>
      </c>
      <c r="Q15" s="98">
        <f t="shared" si="11"/>
        <v>1294.9902099999999</v>
      </c>
      <c r="R15" s="98">
        <v>397.15257200000008</v>
      </c>
      <c r="S15" s="98">
        <v>405.44276300000001</v>
      </c>
      <c r="T15" s="98">
        <v>386.37278099999997</v>
      </c>
      <c r="U15" s="113"/>
      <c r="V15" s="108"/>
    </row>
    <row r="16" spans="1:26" x14ac:dyDescent="0.25">
      <c r="A16" s="5" t="s">
        <v>128</v>
      </c>
      <c r="B16" s="98">
        <v>15.204493000000001</v>
      </c>
      <c r="C16" s="98">
        <v>21.379812000000005</v>
      </c>
      <c r="D16" s="98">
        <v>20.57640799999999</v>
      </c>
      <c r="E16" s="98">
        <v>17.167337000000007</v>
      </c>
      <c r="F16" s="98">
        <f t="shared" si="10"/>
        <v>74.328050000000005</v>
      </c>
      <c r="G16" s="98">
        <v>53.176955</v>
      </c>
      <c r="H16" s="98">
        <v>48.484749000000001</v>
      </c>
      <c r="I16" s="98">
        <v>39.085860000000004</v>
      </c>
      <c r="J16" s="98">
        <v>60.279836000000003</v>
      </c>
      <c r="K16" s="98">
        <v>201.0274</v>
      </c>
      <c r="L16" s="98">
        <v>76.737158999999991</v>
      </c>
      <c r="M16" s="98">
        <v>147.09634600000001</v>
      </c>
      <c r="N16" s="98">
        <v>55.844773000000004</v>
      </c>
      <c r="O16" s="98">
        <v>0</v>
      </c>
      <c r="P16" s="98">
        <v>17.923999999999999</v>
      </c>
      <c r="Q16" s="98">
        <f t="shared" si="11"/>
        <v>297.60227800000001</v>
      </c>
      <c r="R16" s="98">
        <v>72.488973999999999</v>
      </c>
      <c r="S16" s="98">
        <v>185.40845300000001</v>
      </c>
      <c r="T16" s="98">
        <v>75.045623000000006</v>
      </c>
      <c r="U16" s="113"/>
      <c r="V16" s="108"/>
    </row>
    <row r="17" spans="1:26" x14ac:dyDescent="0.25">
      <c r="A17" s="5" t="s">
        <v>119</v>
      </c>
      <c r="B17" s="98">
        <v>-17.155806999999999</v>
      </c>
      <c r="C17" s="98">
        <v>-21.783953999999998</v>
      </c>
      <c r="D17" s="98">
        <v>-16.463665000000002</v>
      </c>
      <c r="E17" s="98">
        <v>-16.853386000000008</v>
      </c>
      <c r="F17" s="98">
        <f t="shared" si="10"/>
        <v>-72.256811999999996</v>
      </c>
      <c r="G17" s="98">
        <v>-18.115749999999998</v>
      </c>
      <c r="H17" s="98">
        <v>-19.788588000000004</v>
      </c>
      <c r="I17" s="98">
        <v>-25.499108999999997</v>
      </c>
      <c r="J17" s="98">
        <v>-24.329919999999998</v>
      </c>
      <c r="K17" s="98">
        <v>-87.733367000000001</v>
      </c>
      <c r="L17" s="98">
        <v>-27.209263</v>
      </c>
      <c r="M17" s="98">
        <v>-28.07752</v>
      </c>
      <c r="N17" s="98">
        <v>-38.344670999999998</v>
      </c>
      <c r="O17" s="98">
        <v>0</v>
      </c>
      <c r="P17" s="98">
        <v>31.498999999999999</v>
      </c>
      <c r="Q17" s="98">
        <f>P17+N17+M17+L17</f>
        <v>-62.132454000000003</v>
      </c>
      <c r="R17" s="98">
        <v>-54.380984999999995</v>
      </c>
      <c r="S17" s="98">
        <v>-64.506506000000002</v>
      </c>
      <c r="T17" s="98">
        <v>-67.381257000000005</v>
      </c>
      <c r="U17" s="113"/>
    </row>
    <row r="18" spans="1:26" x14ac:dyDescent="0.25">
      <c r="A18" s="6" t="s">
        <v>122</v>
      </c>
      <c r="B18" s="99">
        <f t="shared" ref="B18:F18" si="12">+SUM(B12:B17)</f>
        <v>515.20626600000003</v>
      </c>
      <c r="C18" s="99">
        <f t="shared" si="12"/>
        <v>665.83906899999999</v>
      </c>
      <c r="D18" s="99">
        <f t="shared" si="12"/>
        <v>496.30452699999989</v>
      </c>
      <c r="E18" s="99">
        <f t="shared" si="12"/>
        <v>667.43495200000018</v>
      </c>
      <c r="F18" s="99">
        <f t="shared" si="12"/>
        <v>2344.7848140000001</v>
      </c>
      <c r="G18" s="99">
        <f t="shared" ref="G18" si="13">+SUM(G12:G17)</f>
        <v>660.07518499999992</v>
      </c>
      <c r="H18" s="99">
        <f t="shared" ref="H18" si="14">+SUM(H12:H17)</f>
        <v>845.67944299999988</v>
      </c>
      <c r="I18" s="99">
        <f t="shared" ref="I18" si="15">+SUM(I12:I17)</f>
        <v>652.90325899999993</v>
      </c>
      <c r="J18" s="99">
        <f t="shared" ref="J18" si="16">+SUM(J12:J17)</f>
        <v>1006.0460277407898</v>
      </c>
      <c r="K18" s="99">
        <f t="shared" ref="K18" si="17">+SUM(K12:K17)</f>
        <v>3164.7039147407904</v>
      </c>
      <c r="L18" s="99">
        <f t="shared" ref="L18" si="18">+SUM(L12:L17)</f>
        <v>959.85816400000022</v>
      </c>
      <c r="M18" s="99">
        <f t="shared" ref="M18" si="19">+SUM(M12:M17)</f>
        <v>1245.1163179999999</v>
      </c>
      <c r="N18" s="99">
        <f t="shared" ref="N18:P18" si="20">+SUM(N12:N17)</f>
        <v>1017.6376470000001</v>
      </c>
      <c r="O18" s="99">
        <f>+SUM(O12:O17)</f>
        <v>0</v>
      </c>
      <c r="P18" s="99">
        <f t="shared" si="20"/>
        <v>1272.95</v>
      </c>
      <c r="Q18" s="99">
        <f>P18+N18+M18+L18</f>
        <v>4495.5621289999999</v>
      </c>
      <c r="R18" s="99">
        <f t="shared" ref="R18:T18" si="21">+SUM(R12:R17)</f>
        <v>1257.7425410000001</v>
      </c>
      <c r="S18" s="99">
        <f t="shared" si="21"/>
        <v>1532.5497170000001</v>
      </c>
      <c r="T18" s="99">
        <f t="shared" si="21"/>
        <v>1259.8600730000001</v>
      </c>
      <c r="U18" s="113"/>
      <c r="W18" s="75"/>
    </row>
    <row r="19" spans="1:26" x14ac:dyDescent="0.25">
      <c r="A19" s="26" t="s">
        <v>28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13"/>
    </row>
    <row r="20" spans="1:26" x14ac:dyDescent="0.25">
      <c r="A20" s="5" t="s">
        <v>124</v>
      </c>
      <c r="B20" s="98">
        <v>60.794209000000002</v>
      </c>
      <c r="C20" s="98">
        <v>166.40295399999999</v>
      </c>
      <c r="D20" s="98">
        <v>53.888201000000038</v>
      </c>
      <c r="E20" s="98">
        <v>125.70988044068608</v>
      </c>
      <c r="F20" s="98">
        <f t="shared" ref="F20:F24" si="22">+SUM(B20:E20)</f>
        <v>406.79524444068613</v>
      </c>
      <c r="G20" s="98">
        <v>85.911655999999994</v>
      </c>
      <c r="H20" s="98">
        <v>210.11541600000001</v>
      </c>
      <c r="I20" s="98">
        <v>57.581165000000006</v>
      </c>
      <c r="J20" s="98">
        <v>199.25372637039499</v>
      </c>
      <c r="K20" s="98">
        <v>552.86196337039496</v>
      </c>
      <c r="L20" s="98">
        <v>112.61233299999998</v>
      </c>
      <c r="M20" s="98">
        <v>278.90551199999999</v>
      </c>
      <c r="N20" s="98">
        <v>151.694456</v>
      </c>
      <c r="O20" s="98">
        <v>2.6271100000001297</v>
      </c>
      <c r="P20" s="98">
        <v>181.339</v>
      </c>
      <c r="Q20" s="98">
        <f t="shared" ref="Q20:Q25" si="23">P20+N20+M20+O20+L20</f>
        <v>727.1784110000001</v>
      </c>
      <c r="R20" s="98">
        <v>186.42064800000003</v>
      </c>
      <c r="S20" s="98">
        <v>296.09124500000001</v>
      </c>
      <c r="T20" s="98">
        <v>158.487255</v>
      </c>
      <c r="U20" s="113"/>
      <c r="V20" s="108"/>
    </row>
    <row r="21" spans="1:26" x14ac:dyDescent="0.25">
      <c r="A21" s="5" t="s">
        <v>125</v>
      </c>
      <c r="B21" s="98">
        <v>28.178069999999998</v>
      </c>
      <c r="C21" s="98">
        <v>31.804649000000001</v>
      </c>
      <c r="D21" s="98">
        <v>34.940217999999987</v>
      </c>
      <c r="E21" s="98">
        <v>41.818504988221768</v>
      </c>
      <c r="F21" s="98">
        <f t="shared" si="22"/>
        <v>136.74144198822177</v>
      </c>
      <c r="G21" s="98">
        <v>49.455853000000005</v>
      </c>
      <c r="H21" s="98">
        <v>52.616301999999997</v>
      </c>
      <c r="I21" s="98">
        <v>52.683999999999997</v>
      </c>
      <c r="J21" s="98">
        <v>94.892805370394981</v>
      </c>
      <c r="K21" s="98">
        <v>249.648960370395</v>
      </c>
      <c r="L21" s="98">
        <v>97.36890600000001</v>
      </c>
      <c r="M21" s="98">
        <v>125.01229499999999</v>
      </c>
      <c r="N21" s="98">
        <v>124.453153</v>
      </c>
      <c r="O21" s="98">
        <v>1.800280999999984</v>
      </c>
      <c r="P21" s="98">
        <v>155.328</v>
      </c>
      <c r="Q21" s="98">
        <f t="shared" si="23"/>
        <v>503.96263499999998</v>
      </c>
      <c r="R21" s="98">
        <v>155.82691499999999</v>
      </c>
      <c r="S21" s="98">
        <v>130.431164</v>
      </c>
      <c r="T21" s="98">
        <v>152.528108</v>
      </c>
      <c r="U21" s="113"/>
      <c r="V21" s="108"/>
    </row>
    <row r="22" spans="1:26" x14ac:dyDescent="0.25">
      <c r="A22" s="5" t="s">
        <v>126</v>
      </c>
      <c r="B22" s="98">
        <v>-1.2079999999999991</v>
      </c>
      <c r="C22" s="98">
        <v>7.3691379999999977</v>
      </c>
      <c r="D22" s="98">
        <v>13.30941</v>
      </c>
      <c r="E22" s="98">
        <v>22.585851389668196</v>
      </c>
      <c r="F22" s="98">
        <f t="shared" si="22"/>
        <v>42.056399389668194</v>
      </c>
      <c r="G22" s="98">
        <v>11.050306000000001</v>
      </c>
      <c r="H22" s="98">
        <v>19.851359999999996</v>
      </c>
      <c r="I22" s="98">
        <v>18.816279999999999</v>
      </c>
      <c r="J22" s="98">
        <v>34.610984000000009</v>
      </c>
      <c r="K22" s="98">
        <v>84.328930000000014</v>
      </c>
      <c r="L22" s="98">
        <v>11.969768999999999</v>
      </c>
      <c r="M22" s="98">
        <v>22.925898</v>
      </c>
      <c r="N22" s="98">
        <v>18.170791000000001</v>
      </c>
      <c r="O22" s="98">
        <v>1.358263000000008</v>
      </c>
      <c r="P22" s="98">
        <v>33.634</v>
      </c>
      <c r="Q22" s="98">
        <f t="shared" si="23"/>
        <v>88.058721000000006</v>
      </c>
      <c r="R22" s="98">
        <v>20.526823</v>
      </c>
      <c r="S22" s="98">
        <v>19.195747999999998</v>
      </c>
      <c r="T22" s="98">
        <v>13.236214000000031</v>
      </c>
      <c r="U22" s="113"/>
      <c r="V22" s="108"/>
    </row>
    <row r="23" spans="1:26" x14ac:dyDescent="0.25">
      <c r="A23" s="5" t="s">
        <v>127</v>
      </c>
      <c r="B23" s="98">
        <v>22.374171999999998</v>
      </c>
      <c r="C23" s="98">
        <v>31.925538000000003</v>
      </c>
      <c r="D23" s="98">
        <v>19.03653199999998</v>
      </c>
      <c r="E23" s="98">
        <v>26.090860125603765</v>
      </c>
      <c r="F23" s="98">
        <f t="shared" si="22"/>
        <v>99.427102125603753</v>
      </c>
      <c r="G23" s="98">
        <v>27.825946000000002</v>
      </c>
      <c r="H23" s="98">
        <v>56.079646999999987</v>
      </c>
      <c r="I23" s="98">
        <v>31.461006000000008</v>
      </c>
      <c r="J23" s="98">
        <v>53.707991999999983</v>
      </c>
      <c r="K23" s="98">
        <v>169.07459099999997</v>
      </c>
      <c r="L23" s="98">
        <v>45.285784</v>
      </c>
      <c r="M23" s="98">
        <v>45.953110000000002</v>
      </c>
      <c r="N23" s="98">
        <v>34.213366999999998</v>
      </c>
      <c r="O23" s="98">
        <v>6.9432809999999847</v>
      </c>
      <c r="P23" s="98">
        <v>15.122</v>
      </c>
      <c r="Q23" s="98">
        <f t="shared" si="23"/>
        <v>147.51754199999999</v>
      </c>
      <c r="R23" s="98">
        <v>21.528052000000059</v>
      </c>
      <c r="S23" s="98">
        <v>4.5201650000000004</v>
      </c>
      <c r="T23" s="98">
        <v>19.174634999999999</v>
      </c>
      <c r="U23" s="113"/>
      <c r="V23" s="108"/>
    </row>
    <row r="24" spans="1:26" x14ac:dyDescent="0.25">
      <c r="A24" s="5" t="s">
        <v>128</v>
      </c>
      <c r="B24" s="98">
        <v>-69.536641000000003</v>
      </c>
      <c r="C24" s="98">
        <v>-66.315279000000004</v>
      </c>
      <c r="D24" s="98">
        <v>-57.221335000000067</v>
      </c>
      <c r="E24" s="98">
        <v>-79.045045441815859</v>
      </c>
      <c r="F24" s="98">
        <f t="shared" si="22"/>
        <v>-272.1183004418159</v>
      </c>
      <c r="G24" s="98">
        <v>-58.524947000000012</v>
      </c>
      <c r="H24" s="98">
        <v>-86.977728000000027</v>
      </c>
      <c r="I24" s="98">
        <v>-90.787659999999988</v>
      </c>
      <c r="J24" s="98">
        <v>-176.05312400000005</v>
      </c>
      <c r="K24" s="98">
        <v>-412.34345900000005</v>
      </c>
      <c r="L24" s="98">
        <v>-144.226057</v>
      </c>
      <c r="M24" s="98">
        <v>-127.655992</v>
      </c>
      <c r="N24" s="98">
        <v>-215.47515110000001</v>
      </c>
      <c r="O24" s="98">
        <v>-12.728040121274603</v>
      </c>
      <c r="P24" s="98">
        <v>-127.41500000000001</v>
      </c>
      <c r="Q24" s="98">
        <f t="shared" si="23"/>
        <v>-627.50024022127457</v>
      </c>
      <c r="R24" s="98">
        <v>-199.476009</v>
      </c>
      <c r="S24" s="98">
        <v>-98.665963000000005</v>
      </c>
      <c r="T24" s="98">
        <v>-200.89504700000001</v>
      </c>
      <c r="U24" s="113"/>
      <c r="V24" s="108"/>
      <c r="X24" s="115"/>
      <c r="Y24" s="110"/>
      <c r="Z24" s="75"/>
    </row>
    <row r="25" spans="1:26" x14ac:dyDescent="0.25">
      <c r="A25" s="5" t="s">
        <v>119</v>
      </c>
      <c r="B25" s="98">
        <v>0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>
        <f t="shared" si="23"/>
        <v>0</v>
      </c>
      <c r="R25" s="98">
        <v>0</v>
      </c>
      <c r="S25" s="98">
        <v>0</v>
      </c>
      <c r="T25" s="98">
        <v>0</v>
      </c>
    </row>
    <row r="26" spans="1:26" x14ac:dyDescent="0.25">
      <c r="A26" s="6" t="s">
        <v>123</v>
      </c>
      <c r="B26" s="99">
        <f t="shared" ref="B26:F26" si="24">+SUM(B20:B25)</f>
        <v>40.60181</v>
      </c>
      <c r="C26" s="99">
        <f t="shared" si="24"/>
        <v>171.18699999999998</v>
      </c>
      <c r="D26" s="99">
        <f t="shared" si="24"/>
        <v>63.953025999999937</v>
      </c>
      <c r="E26" s="99">
        <f t="shared" si="24"/>
        <v>137.16005150236396</v>
      </c>
      <c r="F26" s="99">
        <f t="shared" si="24"/>
        <v>412.90188750236382</v>
      </c>
      <c r="G26" s="99">
        <f t="shared" ref="G26" si="25">+SUM(G20:G25)</f>
        <v>115.71881399999999</v>
      </c>
      <c r="H26" s="99">
        <f t="shared" ref="H26" si="26">+SUM(H20:H25)</f>
        <v>251.68499699999995</v>
      </c>
      <c r="I26" s="99">
        <f t="shared" ref="I26" si="27">+SUM(I20:I25)</f>
        <v>69.754791000000012</v>
      </c>
      <c r="J26" s="99">
        <f t="shared" ref="J26" si="28">+SUM(J20:J25)</f>
        <v>206.41238374078992</v>
      </c>
      <c r="K26" s="99">
        <f t="shared" ref="K26" si="29">+SUM(K20:K25)</f>
        <v>643.57098574078998</v>
      </c>
      <c r="L26" s="99">
        <f t="shared" ref="L26" si="30">+SUM(L20:L25)</f>
        <v>123.01073499999998</v>
      </c>
      <c r="M26" s="99">
        <f>+SUM(M20:M25)</f>
        <v>345.14082299999995</v>
      </c>
      <c r="N26" s="99">
        <f t="shared" ref="N26:P26" si="31">+SUM(N20:N25)</f>
        <v>113.0566159</v>
      </c>
      <c r="O26" s="99">
        <f t="shared" si="31"/>
        <v>8.94878725503645E-4</v>
      </c>
      <c r="P26" s="99">
        <f t="shared" si="31"/>
        <v>258.00800000000004</v>
      </c>
      <c r="Q26" s="99">
        <f>P26+N26+M26+L26</f>
        <v>839.21617389999994</v>
      </c>
      <c r="R26" s="99">
        <f t="shared" ref="R26:T26" si="32">+SUM(R20:R25)</f>
        <v>184.82642900000005</v>
      </c>
      <c r="S26" s="99">
        <f t="shared" si="32"/>
        <v>351.57235900000001</v>
      </c>
      <c r="T26" s="99">
        <f t="shared" si="32"/>
        <v>142.53116500000002</v>
      </c>
      <c r="U26" s="107"/>
      <c r="V26" s="108"/>
      <c r="W26" s="75"/>
    </row>
    <row r="27" spans="1:26" s="14" customFormat="1" x14ac:dyDescent="0.25">
      <c r="U27" s="107"/>
      <c r="V27" s="108"/>
      <c r="W27" s="76"/>
    </row>
    <row r="28" spans="1:26" s="14" customFormat="1" x14ac:dyDescent="0.25">
      <c r="U28" s="107"/>
      <c r="V28" s="108"/>
    </row>
    <row r="29" spans="1:26" s="14" customForma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26" s="14" customForma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108"/>
    </row>
    <row r="31" spans="1:26" s="14" customForma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26" s="14" customFormat="1" x14ac:dyDescent="0.25">
      <c r="U32" s="107"/>
    </row>
    <row r="33" spans="2:21" s="14" customForma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U33" s="107"/>
    </row>
    <row r="34" spans="2:21" s="14" customFormat="1" x14ac:dyDescent="0.25">
      <c r="U34" s="107"/>
    </row>
    <row r="35" spans="2:21" s="14" customFormat="1" x14ac:dyDescent="0.25"/>
    <row r="36" spans="2:21" s="14" customFormat="1" x14ac:dyDescent="0.25"/>
    <row r="37" spans="2:21" s="14" customFormat="1" x14ac:dyDescent="0.25"/>
    <row r="38" spans="2:21" s="14" customFormat="1" x14ac:dyDescent="0.25"/>
    <row r="39" spans="2:21" s="14" customFormat="1" x14ac:dyDescent="0.25"/>
    <row r="40" spans="2:21" s="14" customFormat="1" x14ac:dyDescent="0.25"/>
    <row r="41" spans="2:21" s="14" customFormat="1" x14ac:dyDescent="0.25"/>
    <row r="42" spans="2:21" s="14" customFormat="1" x14ac:dyDescent="0.25"/>
    <row r="43" spans="2:21" s="14" customFormat="1" x14ac:dyDescent="0.25"/>
    <row r="44" spans="2:21" s="14" customFormat="1" x14ac:dyDescent="0.25"/>
    <row r="45" spans="2:21" s="14" customFormat="1" x14ac:dyDescent="0.25"/>
    <row r="46" spans="2:21" s="14" customFormat="1" x14ac:dyDescent="0.25"/>
    <row r="47" spans="2:21" s="14" customFormat="1" x14ac:dyDescent="0.25"/>
    <row r="48" spans="2:21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D59"/>
  <sheetViews>
    <sheetView showGridLines="0" tabSelected="1" workbookViewId="0">
      <pane xSplit="1" topLeftCell="B1" activePane="topRight" state="frozen"/>
      <selection activeCell="N34" sqref="N34"/>
      <selection pane="topRight" activeCell="W26" sqref="W26"/>
    </sheetView>
  </sheetViews>
  <sheetFormatPr defaultColWidth="9.28515625" defaultRowHeight="15" x14ac:dyDescent="0.25"/>
  <cols>
    <col min="1" max="1" width="17.42578125" bestFit="1" customWidth="1"/>
    <col min="2" max="6" width="6.85546875" customWidth="1"/>
    <col min="7" max="19" width="11" customWidth="1"/>
    <col min="20" max="20" width="11" style="14" customWidth="1"/>
    <col min="21" max="82" width="9.28515625" style="14" customWidth="1"/>
  </cols>
  <sheetData>
    <row r="1" spans="1:22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150</v>
      </c>
      <c r="H1" s="7" t="s">
        <v>149</v>
      </c>
      <c r="I1" s="7" t="s">
        <v>148</v>
      </c>
      <c r="J1" s="7" t="s">
        <v>147</v>
      </c>
      <c r="K1" s="7">
        <v>2021</v>
      </c>
      <c r="L1" s="7" t="s">
        <v>146</v>
      </c>
      <c r="M1" s="7" t="s">
        <v>144</v>
      </c>
      <c r="N1" s="7" t="s">
        <v>145</v>
      </c>
      <c r="O1" s="7" t="s">
        <v>112</v>
      </c>
      <c r="P1" s="7" t="s">
        <v>17</v>
      </c>
      <c r="Q1" s="7">
        <v>2022</v>
      </c>
      <c r="R1" s="7" t="s">
        <v>18</v>
      </c>
      <c r="S1" s="7" t="s">
        <v>151</v>
      </c>
      <c r="T1" s="7" t="s">
        <v>154</v>
      </c>
    </row>
    <row r="2" spans="1:22" x14ac:dyDescent="0.25">
      <c r="A2" s="26" t="s">
        <v>114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9"/>
      <c r="O2" s="69"/>
      <c r="P2" s="69"/>
      <c r="Q2" s="69"/>
      <c r="R2" s="69"/>
      <c r="S2" s="69"/>
      <c r="T2" s="69"/>
    </row>
    <row r="3" spans="1:22" x14ac:dyDescent="0.25">
      <c r="A3" s="24" t="s">
        <v>129</v>
      </c>
      <c r="B3" s="101">
        <v>252.24567299999998</v>
      </c>
      <c r="C3" s="101">
        <v>259.00899200000009</v>
      </c>
      <c r="D3" s="101">
        <v>209.3981729999999</v>
      </c>
      <c r="E3" s="101">
        <v>280.30682400000001</v>
      </c>
      <c r="F3" s="101">
        <f>+SUM(B3:E3)</f>
        <v>1000.959662</v>
      </c>
      <c r="G3" s="101">
        <v>282.22109899999998</v>
      </c>
      <c r="H3" s="101">
        <v>346.56913500000002</v>
      </c>
      <c r="I3" s="101">
        <v>301.5169269999999</v>
      </c>
      <c r="J3" s="101">
        <v>401.5236000000001</v>
      </c>
      <c r="K3" s="101">
        <v>1331.8307610000002</v>
      </c>
      <c r="L3" s="101">
        <v>383.50307099999998</v>
      </c>
      <c r="M3" s="101">
        <v>363.85572100000002</v>
      </c>
      <c r="N3" s="101">
        <v>320.86564199999987</v>
      </c>
      <c r="O3" s="101">
        <v>1.1799999970207864E-4</v>
      </c>
      <c r="P3" s="101">
        <v>430.69</v>
      </c>
      <c r="Q3" s="101">
        <f>P3+N3+M3+O3+L3</f>
        <v>1498.9145519999993</v>
      </c>
      <c r="R3" s="101">
        <v>429.86019500000003</v>
      </c>
      <c r="S3" s="101">
        <v>428.24566199999992</v>
      </c>
      <c r="T3" s="101">
        <v>376.07442800000007</v>
      </c>
      <c r="V3" s="108"/>
    </row>
    <row r="4" spans="1:22" x14ac:dyDescent="0.25">
      <c r="A4" s="24" t="s">
        <v>130</v>
      </c>
      <c r="B4" s="101">
        <v>131.39022700000001</v>
      </c>
      <c r="C4" s="101">
        <v>179.48840500000043</v>
      </c>
      <c r="D4" s="101">
        <v>98.207842999999642</v>
      </c>
      <c r="E4" s="101">
        <v>173.53450299999957</v>
      </c>
      <c r="F4" s="101">
        <f t="shared" ref="F4:F5" si="0">+SUM(B4:E4)</f>
        <v>582.6209779999997</v>
      </c>
      <c r="G4" s="101">
        <v>152.26777700000005</v>
      </c>
      <c r="H4" s="101">
        <v>184.8943440000001</v>
      </c>
      <c r="I4" s="101">
        <v>121.56280200000118</v>
      </c>
      <c r="J4" s="101">
        <v>189.13269399999945</v>
      </c>
      <c r="K4" s="101">
        <v>647.8576170000008</v>
      </c>
      <c r="L4" s="101">
        <v>171.73223300000006</v>
      </c>
      <c r="M4" s="101">
        <v>218.43003900000051</v>
      </c>
      <c r="N4" s="101">
        <v>153.28634999999963</v>
      </c>
      <c r="O4" s="101">
        <v>7.0000002097003744E-6</v>
      </c>
      <c r="P4" s="101">
        <v>214.267</v>
      </c>
      <c r="Q4" s="101">
        <f>P4+N4+M4+O4+L4</f>
        <v>757.71562900000038</v>
      </c>
      <c r="R4" s="101">
        <v>223.81956000000008</v>
      </c>
      <c r="S4" s="101">
        <v>244.45491000000007</v>
      </c>
      <c r="T4" s="101">
        <v>186.30790900000005</v>
      </c>
      <c r="V4" s="108"/>
    </row>
    <row r="5" spans="1:22" x14ac:dyDescent="0.25">
      <c r="A5" s="24" t="s">
        <v>128</v>
      </c>
      <c r="B5" s="101">
        <v>8.3668079999999989</v>
      </c>
      <c r="C5" s="101">
        <v>1.9822190000000011</v>
      </c>
      <c r="D5" s="101">
        <v>1.591246000000001</v>
      </c>
      <c r="E5" s="101">
        <v>1.9584299999999986</v>
      </c>
      <c r="F5" s="101">
        <f t="shared" si="0"/>
        <v>13.898702999999999</v>
      </c>
      <c r="G5" s="101">
        <v>1.1502329999999998</v>
      </c>
      <c r="H5" s="101">
        <v>-0.34559400000000007</v>
      </c>
      <c r="I5" s="101">
        <v>0.88769400000000021</v>
      </c>
      <c r="J5" s="101">
        <v>1.6509510000000001</v>
      </c>
      <c r="K5" s="101">
        <v>3.3432840000000001</v>
      </c>
      <c r="L5" s="101">
        <v>-5.4440090000000003</v>
      </c>
      <c r="M5" s="101">
        <v>13.234538999999998</v>
      </c>
      <c r="N5" s="101">
        <v>1.0230900000000001</v>
      </c>
      <c r="O5" s="101">
        <v>5.9861540000000026</v>
      </c>
      <c r="P5" s="101">
        <v>2.109</v>
      </c>
      <c r="Q5" s="101">
        <f>P5+N5+M5+O5+L5</f>
        <v>16.908773999999998</v>
      </c>
      <c r="R5" s="101">
        <v>-1.3498179999999997</v>
      </c>
      <c r="S5" s="101">
        <v>1.2582749999999998</v>
      </c>
      <c r="T5" s="101">
        <v>-1.163942</v>
      </c>
      <c r="V5" s="108"/>
    </row>
    <row r="6" spans="1:22" x14ac:dyDescent="0.25">
      <c r="A6" s="25" t="s">
        <v>131</v>
      </c>
      <c r="B6" s="102">
        <f t="shared" ref="B6:E6" si="1">(+SUM(B3:B5))</f>
        <v>392.00270799999998</v>
      </c>
      <c r="C6" s="102">
        <f t="shared" si="1"/>
        <v>440.47961600000053</v>
      </c>
      <c r="D6" s="102">
        <f t="shared" si="1"/>
        <v>309.19726199999957</v>
      </c>
      <c r="E6" s="102">
        <f t="shared" si="1"/>
        <v>455.7997569999996</v>
      </c>
      <c r="F6" s="102">
        <f>(+SUM(F3:F5))</f>
        <v>1597.4793429999997</v>
      </c>
      <c r="G6" s="102">
        <f t="shared" ref="G6" si="2">(+SUM(G3:G5))</f>
        <v>435.63910900000002</v>
      </c>
      <c r="H6" s="102">
        <f t="shared" ref="H6" si="3">(+SUM(H3:H5))</f>
        <v>531.11788500000011</v>
      </c>
      <c r="I6" s="102">
        <f t="shared" ref="I6" si="4">(+SUM(I3:I5))</f>
        <v>423.96742300000108</v>
      </c>
      <c r="J6" s="102">
        <f>(+SUM(J3:J5))</f>
        <v>592.30724499999951</v>
      </c>
      <c r="K6" s="102">
        <f>G6+H6+I6+J6</f>
        <v>1983.0316620000008</v>
      </c>
      <c r="L6" s="102">
        <f t="shared" ref="L6:P6" si="5">(+SUM(L3:L5))</f>
        <v>549.79129499999999</v>
      </c>
      <c r="M6" s="102">
        <f t="shared" si="5"/>
        <v>595.52029900000059</v>
      </c>
      <c r="N6" s="102">
        <f t="shared" si="5"/>
        <v>475.17508199999952</v>
      </c>
      <c r="O6" s="102">
        <f t="shared" si="5"/>
        <v>5.9862789999999144</v>
      </c>
      <c r="P6" s="102">
        <f t="shared" si="5"/>
        <v>647.06600000000003</v>
      </c>
      <c r="Q6" s="102">
        <f>P6+N6+M6+O6+L6</f>
        <v>2273.538955</v>
      </c>
      <c r="R6" s="102">
        <f>(+SUM(R3:R5))</f>
        <v>652.32993700000009</v>
      </c>
      <c r="S6" s="102">
        <f>(+SUM(S3:S5))</f>
        <v>673.95884699999999</v>
      </c>
      <c r="T6" s="102">
        <f>(+SUM(T3:T5))</f>
        <v>561.2183950000001</v>
      </c>
      <c r="V6" s="108"/>
    </row>
    <row r="7" spans="1:22" x14ac:dyDescent="0.25">
      <c r="A7" s="26" t="s">
        <v>115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>
        <v>0</v>
      </c>
      <c r="Q7" s="103"/>
      <c r="R7" s="103"/>
      <c r="S7" s="103"/>
      <c r="T7" s="103"/>
      <c r="V7" s="108"/>
    </row>
    <row r="8" spans="1:22" x14ac:dyDescent="0.25">
      <c r="A8" s="24" t="s">
        <v>129</v>
      </c>
      <c r="B8" s="101">
        <v>43.225434</v>
      </c>
      <c r="C8" s="101">
        <v>39.788025000000005</v>
      </c>
      <c r="D8" s="101">
        <v>43.672230999999989</v>
      </c>
      <c r="E8" s="101">
        <v>66.737339000000006</v>
      </c>
      <c r="F8" s="101">
        <f>+SUM(B8:E8)</f>
        <v>193.42302899999999</v>
      </c>
      <c r="G8" s="101">
        <v>53.015808000000007</v>
      </c>
      <c r="H8" s="101">
        <v>59.534140000000001</v>
      </c>
      <c r="I8" s="101">
        <v>58.365889999999986</v>
      </c>
      <c r="J8" s="101">
        <v>86.590307000000038</v>
      </c>
      <c r="K8" s="101">
        <v>257.506145</v>
      </c>
      <c r="L8" s="101">
        <v>64.662299000000004</v>
      </c>
      <c r="M8" s="101">
        <v>123.942088</v>
      </c>
      <c r="N8" s="101">
        <v>118.682</v>
      </c>
      <c r="O8" s="101">
        <v>7.3196559999998954</v>
      </c>
      <c r="P8" s="101">
        <v>135.53100000000001</v>
      </c>
      <c r="Q8" s="101">
        <f>P8+N8+M8+O8+L8</f>
        <v>450.13704299999995</v>
      </c>
      <c r="R8" s="101">
        <v>129.10713999999999</v>
      </c>
      <c r="S8" s="101">
        <v>125.82228699999997</v>
      </c>
      <c r="T8" s="101">
        <v>152.636315</v>
      </c>
      <c r="V8" s="108"/>
    </row>
    <row r="9" spans="1:22" x14ac:dyDescent="0.25">
      <c r="A9" s="24" t="s">
        <v>130</v>
      </c>
      <c r="B9" s="101">
        <v>59.730241999999997</v>
      </c>
      <c r="C9" s="101">
        <v>102.29545400000018</v>
      </c>
      <c r="D9" s="101">
        <v>78.198288999999932</v>
      </c>
      <c r="E9" s="101">
        <v>102.52953599999996</v>
      </c>
      <c r="F9" s="101">
        <f t="shared" ref="F9:F10" si="6">+SUM(B9:E9)</f>
        <v>342.75352100000009</v>
      </c>
      <c r="G9" s="101">
        <v>79.177353999999994</v>
      </c>
      <c r="H9" s="101">
        <v>122.94235200000037</v>
      </c>
      <c r="I9" s="101">
        <v>90.693720999999314</v>
      </c>
      <c r="J9" s="101">
        <v>124.78463500000024</v>
      </c>
      <c r="K9" s="101">
        <v>417.59806199999991</v>
      </c>
      <c r="L9" s="101">
        <v>97.325898999999865</v>
      </c>
      <c r="M9" s="101">
        <v>155.43124900000018</v>
      </c>
      <c r="N9" s="101">
        <v>130.83699999999999</v>
      </c>
      <c r="O9" s="101">
        <v>5.0100000009933865E-4</v>
      </c>
      <c r="P9" s="101">
        <v>172.45099999999999</v>
      </c>
      <c r="Q9" s="101">
        <f>P9+N9+M9+O9+L9</f>
        <v>556.04564900000014</v>
      </c>
      <c r="R9" s="101">
        <v>145.563919</v>
      </c>
      <c r="S9" s="101">
        <v>244.33065699999995</v>
      </c>
      <c r="T9" s="101">
        <v>169.90306100000001</v>
      </c>
      <c r="V9" s="108"/>
    </row>
    <row r="10" spans="1:22" x14ac:dyDescent="0.25">
      <c r="A10" s="24" t="s">
        <v>128</v>
      </c>
      <c r="B10" s="101">
        <v>0.56872599999999984</v>
      </c>
      <c r="C10" s="101">
        <v>14.207343999999999</v>
      </c>
      <c r="D10" s="101">
        <v>1.0280489999999991</v>
      </c>
      <c r="E10" s="101">
        <v>-13.533951999999999</v>
      </c>
      <c r="F10" s="101">
        <f t="shared" si="6"/>
        <v>2.2701669999999989</v>
      </c>
      <c r="G10" s="101">
        <v>0.59589899999999996</v>
      </c>
      <c r="H10" s="101">
        <v>0.17386900000000002</v>
      </c>
      <c r="I10" s="101">
        <v>0.7271979999999999</v>
      </c>
      <c r="J10" s="101">
        <v>1.7829150000000005</v>
      </c>
      <c r="K10" s="101">
        <v>3.2798810000000005</v>
      </c>
      <c r="L10" s="101">
        <v>0.77354400000000001</v>
      </c>
      <c r="M10" s="101">
        <v>-0.10880200000000002</v>
      </c>
      <c r="N10" s="101">
        <v>1.3852869999999999</v>
      </c>
      <c r="O10" s="101">
        <v>0.99800699999999765</v>
      </c>
      <c r="P10" s="101">
        <v>26.181000000000001</v>
      </c>
      <c r="Q10" s="101">
        <f>P10+N10+M10+O10+L10</f>
        <v>29.229036000000001</v>
      </c>
      <c r="R10" s="101">
        <v>1.626943</v>
      </c>
      <c r="S10" s="101">
        <v>0.93080099999999988</v>
      </c>
      <c r="T10" s="101">
        <v>2.0845079999999996</v>
      </c>
      <c r="V10" s="108"/>
    </row>
    <row r="11" spans="1:22" x14ac:dyDescent="0.25">
      <c r="A11" s="25" t="s">
        <v>132</v>
      </c>
      <c r="B11" s="102">
        <f t="shared" ref="B11:E11" si="7">+SUM(B8:B10)</f>
        <v>103.52440199999999</v>
      </c>
      <c r="C11" s="102">
        <f t="shared" si="7"/>
        <v>156.29082300000019</v>
      </c>
      <c r="D11" s="102">
        <f t="shared" si="7"/>
        <v>122.89856899999991</v>
      </c>
      <c r="E11" s="102">
        <f t="shared" si="7"/>
        <v>155.73292299999997</v>
      </c>
      <c r="F11" s="102">
        <f t="shared" ref="F11" si="8">+SUM(F8:F10)</f>
        <v>538.44671700000015</v>
      </c>
      <c r="G11" s="102">
        <f t="shared" ref="G11" si="9">+SUM(G8:G10)</f>
        <v>132.789061</v>
      </c>
      <c r="H11" s="102">
        <f t="shared" ref="H11" si="10">+SUM(H8:H10)</f>
        <v>182.65036100000037</v>
      </c>
      <c r="I11" s="102">
        <f t="shared" ref="I11" si="11">+SUM(I8:I10)</f>
        <v>149.78680899999929</v>
      </c>
      <c r="J11" s="102">
        <f t="shared" ref="J11" si="12">+SUM(J8:J10)</f>
        <v>213.15785700000026</v>
      </c>
      <c r="K11" s="102">
        <f>G11+H11+I11+J11</f>
        <v>678.38408799999991</v>
      </c>
      <c r="L11" s="102">
        <f t="shared" ref="L11" si="13">+SUM(L8:L10)</f>
        <v>162.76174199999986</v>
      </c>
      <c r="M11" s="102">
        <f t="shared" ref="M11" si="14">+SUM(M8:M10)</f>
        <v>279.26453500000014</v>
      </c>
      <c r="N11" s="102">
        <f t="shared" ref="N11:P11" si="15">+SUM(N8:N10)</f>
        <v>250.90428700000001</v>
      </c>
      <c r="O11" s="102">
        <f>+SUM(O8:O10)</f>
        <v>8.3181639999999923</v>
      </c>
      <c r="P11" s="102">
        <f t="shared" si="15"/>
        <v>334.16299999999995</v>
      </c>
      <c r="Q11" s="102">
        <f>P11+N11+M11+O11+L11</f>
        <v>1035.411728</v>
      </c>
      <c r="R11" s="102">
        <f t="shared" ref="R11:T11" si="16">+SUM(R8:R10)</f>
        <v>276.298002</v>
      </c>
      <c r="S11" s="102">
        <f t="shared" si="16"/>
        <v>371.08374499999991</v>
      </c>
      <c r="T11" s="102">
        <f t="shared" si="16"/>
        <v>324.62388399999998</v>
      </c>
      <c r="V11" s="108"/>
    </row>
    <row r="12" spans="1:22" x14ac:dyDescent="0.25">
      <c r="A12" s="26" t="s">
        <v>116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>
        <v>0</v>
      </c>
      <c r="Q12" s="103"/>
      <c r="R12" s="103"/>
      <c r="S12" s="103"/>
      <c r="T12" s="103"/>
      <c r="V12" s="108"/>
    </row>
    <row r="13" spans="1:22" x14ac:dyDescent="0.25">
      <c r="A13" s="24" t="s">
        <v>129</v>
      </c>
      <c r="B13" s="101">
        <v>20.076519000000001</v>
      </c>
      <c r="C13" s="101">
        <v>42.779813000000011</v>
      </c>
      <c r="D13" s="101">
        <v>28.180241999999993</v>
      </c>
      <c r="E13" s="101">
        <v>40.588861999999985</v>
      </c>
      <c r="F13" s="101">
        <f t="shared" ref="F13:F15" si="17">+SUM(B13:E13)</f>
        <v>131.62543599999998</v>
      </c>
      <c r="G13" s="101">
        <v>28.611758999999999</v>
      </c>
      <c r="H13" s="101">
        <v>61.840345000000006</v>
      </c>
      <c r="I13" s="101">
        <v>57.174232000000003</v>
      </c>
      <c r="J13" s="101">
        <v>130.549104</v>
      </c>
      <c r="K13" s="101">
        <v>278.17543999999998</v>
      </c>
      <c r="L13" s="101">
        <v>121.866998</v>
      </c>
      <c r="M13" s="101">
        <v>155.29829499999994</v>
      </c>
      <c r="N13" s="101">
        <v>151.22900000000001</v>
      </c>
      <c r="O13" s="101">
        <v>0.60001600000009603</v>
      </c>
      <c r="P13" s="101">
        <v>159.64599999999999</v>
      </c>
      <c r="Q13" s="101">
        <f>P13+N13+M13+O13+L13</f>
        <v>588.640309</v>
      </c>
      <c r="R13" s="101">
        <v>143.43914100000001</v>
      </c>
      <c r="S13" s="101">
        <v>192.91555099999999</v>
      </c>
      <c r="T13" s="101">
        <v>219.72406400000006</v>
      </c>
      <c r="V13" s="108"/>
    </row>
    <row r="14" spans="1:22" x14ac:dyDescent="0.25">
      <c r="A14" s="24" t="s">
        <v>130</v>
      </c>
      <c r="B14" s="101">
        <v>46.047793000000006</v>
      </c>
      <c r="C14" s="101">
        <v>69.873798000000249</v>
      </c>
      <c r="D14" s="101">
        <v>42.288597999999652</v>
      </c>
      <c r="E14" s="101">
        <v>51.295485000000454</v>
      </c>
      <c r="F14" s="101">
        <f t="shared" si="17"/>
        <v>209.50567400000034</v>
      </c>
      <c r="G14" s="101">
        <v>62.353418000000062</v>
      </c>
      <c r="H14" s="101">
        <v>87.508680000000055</v>
      </c>
      <c r="I14" s="101">
        <v>51.826150999999605</v>
      </c>
      <c r="J14" s="101">
        <v>157.12618800000089</v>
      </c>
      <c r="K14" s="101">
        <v>358.81443700000062</v>
      </c>
      <c r="L14" s="101">
        <v>168.18970800000011</v>
      </c>
      <c r="M14" s="101">
        <v>228.5392850000006</v>
      </c>
      <c r="N14" s="101">
        <v>214.81399999999999</v>
      </c>
      <c r="O14" s="101">
        <v>1.4499999917916284E-4</v>
      </c>
      <c r="P14" s="101">
        <v>232.911</v>
      </c>
      <c r="Q14" s="101">
        <f>P14+N14+M14+O14+L14</f>
        <v>844.45413799999994</v>
      </c>
      <c r="R14" s="101">
        <v>211.26672600000006</v>
      </c>
      <c r="S14" s="101">
        <v>219.883534</v>
      </c>
      <c r="T14" s="101">
        <v>249.71985599999999</v>
      </c>
      <c r="V14" s="108"/>
    </row>
    <row r="15" spans="1:22" x14ac:dyDescent="0.25">
      <c r="A15" s="24" t="s">
        <v>128</v>
      </c>
      <c r="B15" s="101">
        <v>0.97082099999999993</v>
      </c>
      <c r="C15" s="101">
        <v>0.79708200000000029</v>
      </c>
      <c r="D15" s="101">
        <v>1.5843310000000002</v>
      </c>
      <c r="E15" s="101">
        <v>1.4440539999999993</v>
      </c>
      <c r="F15" s="101">
        <f t="shared" si="17"/>
        <v>4.7962879999999997</v>
      </c>
      <c r="G15" s="101">
        <v>0.63859399999999988</v>
      </c>
      <c r="H15" s="101">
        <v>0.52156199999999997</v>
      </c>
      <c r="I15" s="101">
        <v>0.78949500000000017</v>
      </c>
      <c r="J15" s="101">
        <v>1.8390159999999998</v>
      </c>
      <c r="K15" s="101">
        <v>3.7886669999999993</v>
      </c>
      <c r="L15" s="101">
        <v>1.8408549999999999</v>
      </c>
      <c r="M15" s="101">
        <v>2.4989799999999991</v>
      </c>
      <c r="N15" s="101">
        <v>5.1954750000000001</v>
      </c>
      <c r="O15" s="101">
        <v>0.65199700000000149</v>
      </c>
      <c r="P15" s="101">
        <v>15.257</v>
      </c>
      <c r="Q15" s="101">
        <f>P15+N15+M15+O15+L15</f>
        <v>25.444307000000002</v>
      </c>
      <c r="R15" s="101">
        <v>-4.3090650000000004</v>
      </c>
      <c r="S15" s="101">
        <v>2.7001620000000011</v>
      </c>
      <c r="T15" s="101">
        <v>2.0101640000000001</v>
      </c>
      <c r="V15" s="108"/>
    </row>
    <row r="16" spans="1:22" x14ac:dyDescent="0.25">
      <c r="A16" s="25" t="s">
        <v>133</v>
      </c>
      <c r="B16" s="102">
        <f t="shared" ref="B16:E16" si="18">+SUM(B13:B15)</f>
        <v>67.095133000000004</v>
      </c>
      <c r="C16" s="102">
        <f t="shared" si="18"/>
        <v>113.45069300000027</v>
      </c>
      <c r="D16" s="102">
        <f t="shared" si="18"/>
        <v>72.053170999999651</v>
      </c>
      <c r="E16" s="102">
        <f t="shared" si="18"/>
        <v>93.32840100000044</v>
      </c>
      <c r="F16" s="102">
        <f t="shared" ref="F16" si="19">+SUM(F13:F15)</f>
        <v>345.92739800000032</v>
      </c>
      <c r="G16" s="102">
        <f t="shared" ref="G16" si="20">+SUM(G13:G15)</f>
        <v>91.603771000000066</v>
      </c>
      <c r="H16" s="102">
        <f t="shared" ref="H16" si="21">+SUM(H13:H15)</f>
        <v>149.87058700000006</v>
      </c>
      <c r="I16" s="102">
        <f t="shared" ref="I16" si="22">+SUM(I13:I15)</f>
        <v>109.7898779999996</v>
      </c>
      <c r="J16" s="102">
        <f t="shared" ref="J16" si="23">+SUM(J13:J15)</f>
        <v>289.51430800000094</v>
      </c>
      <c r="K16" s="102">
        <f>G16+H16+I16+J16</f>
        <v>640.77854400000069</v>
      </c>
      <c r="L16" s="102">
        <f t="shared" ref="L16" si="24">+SUM(L13:L15)</f>
        <v>291.89756100000005</v>
      </c>
      <c r="M16" s="102">
        <f t="shared" ref="M16" si="25">+SUM(M13:M15)</f>
        <v>386.33656000000059</v>
      </c>
      <c r="N16" s="102">
        <f t="shared" ref="N16:P16" si="26">+SUM(N13:N15)</f>
        <v>371.23847499999999</v>
      </c>
      <c r="O16" s="102">
        <f>+SUM(O13:O15)</f>
        <v>1.2521579999992767</v>
      </c>
      <c r="P16" s="102">
        <f t="shared" si="26"/>
        <v>407.81400000000002</v>
      </c>
      <c r="Q16" s="102">
        <f>P16+N16+M16+O16+L16</f>
        <v>1458.5387539999999</v>
      </c>
      <c r="R16" s="102">
        <f t="shared" ref="R16:T16" si="27">+SUM(R13:R15)</f>
        <v>350.39680200000009</v>
      </c>
      <c r="S16" s="102">
        <f t="shared" si="27"/>
        <v>415.49924699999997</v>
      </c>
      <c r="T16" s="102">
        <f t="shared" si="27"/>
        <v>471.45408400000002</v>
      </c>
      <c r="V16" s="108"/>
    </row>
    <row r="17" spans="1:22" x14ac:dyDescent="0.25">
      <c r="A17" s="26" t="s">
        <v>117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>
        <v>0</v>
      </c>
      <c r="Q17" s="103"/>
      <c r="R17" s="103"/>
      <c r="S17" s="103"/>
      <c r="T17" s="103"/>
      <c r="V17" s="108"/>
    </row>
    <row r="18" spans="1:22" x14ac:dyDescent="0.25">
      <c r="A18" s="24" t="s">
        <v>129</v>
      </c>
      <c r="B18" s="101">
        <v>50.513302000000003</v>
      </c>
      <c r="C18" s="101">
        <v>58.057670999999992</v>
      </c>
      <c r="D18" s="101">
        <v>63.513502000000017</v>
      </c>
      <c r="E18" s="101">
        <v>70.870649999999969</v>
      </c>
      <c r="F18" s="101">
        <f t="shared" ref="F18:F20" si="28">+SUM(B18:E18)</f>
        <v>242.95512499999995</v>
      </c>
      <c r="G18" s="101">
        <v>75.130802000000003</v>
      </c>
      <c r="H18" s="101">
        <v>80.381133000000005</v>
      </c>
      <c r="I18" s="101">
        <v>82.698788999999991</v>
      </c>
      <c r="J18" s="101">
        <v>92.019640999999993</v>
      </c>
      <c r="K18" s="101">
        <v>330.23036499999995</v>
      </c>
      <c r="L18" s="101">
        <v>81.123796999999996</v>
      </c>
      <c r="M18" s="101">
        <v>81.641141999999988</v>
      </c>
      <c r="N18" s="101">
        <v>81.980999999999995</v>
      </c>
      <c r="O18" s="101">
        <v>-3.2699999991336881E-4</v>
      </c>
      <c r="P18" s="101">
        <v>108.58499999999999</v>
      </c>
      <c r="Q18" s="101">
        <f>P18+N18+M18+O18+L18</f>
        <v>353.33061200000009</v>
      </c>
      <c r="R18" s="101">
        <v>107.094769</v>
      </c>
      <c r="S18" s="101">
        <v>126.69035</v>
      </c>
      <c r="T18" s="101">
        <v>116.92360200000002</v>
      </c>
      <c r="V18" s="108"/>
    </row>
    <row r="19" spans="1:22" x14ac:dyDescent="0.25">
      <c r="A19" s="24" t="s">
        <v>130</v>
      </c>
      <c r="B19" s="101">
        <v>20.048832999999984</v>
      </c>
      <c r="C19" s="101">
        <v>26.587582999999984</v>
      </c>
      <c r="D19" s="101">
        <v>23.727367999999899</v>
      </c>
      <c r="E19" s="101">
        <v>27.084657000000238</v>
      </c>
      <c r="F19" s="101">
        <f t="shared" si="28"/>
        <v>97.448441000000102</v>
      </c>
      <c r="G19" s="101">
        <v>23.053318000000029</v>
      </c>
      <c r="H19" s="101">
        <v>36.707320000000124</v>
      </c>
      <c r="I19" s="101">
        <v>39.336987999999778</v>
      </c>
      <c r="J19" s="101">
        <v>31.808288000000175</v>
      </c>
      <c r="K19" s="101">
        <v>130.90591400000011</v>
      </c>
      <c r="L19" s="101">
        <v>39.608579000000027</v>
      </c>
      <c r="M19" s="101">
        <v>55.992721999999716</v>
      </c>
      <c r="N19" s="101">
        <v>48.872999999999998</v>
      </c>
      <c r="O19" s="101">
        <v>-1.129999996294373E-4</v>
      </c>
      <c r="P19" s="101">
        <v>48.585000000000001</v>
      </c>
      <c r="Q19" s="101">
        <f>P19+N19+M19+O19+L19</f>
        <v>193.05918800000009</v>
      </c>
      <c r="R19" s="101">
        <v>51.459249000000007</v>
      </c>
      <c r="S19" s="101">
        <v>70.362305000000006</v>
      </c>
      <c r="T19" s="101">
        <v>55.623834000000002</v>
      </c>
      <c r="V19" s="108"/>
    </row>
    <row r="20" spans="1:22" x14ac:dyDescent="0.25">
      <c r="A20" s="24" t="s">
        <v>128</v>
      </c>
      <c r="B20" s="101">
        <v>0.252357</v>
      </c>
      <c r="C20" s="101">
        <v>0.29004599999999991</v>
      </c>
      <c r="D20" s="101">
        <v>-1.162399999999991E-2</v>
      </c>
      <c r="E20" s="101">
        <v>0.228245</v>
      </c>
      <c r="F20" s="101">
        <f t="shared" si="28"/>
        <v>0.75902400000000014</v>
      </c>
      <c r="G20" s="101">
        <v>0.204454</v>
      </c>
      <c r="H20" s="101">
        <v>0.19258499999999998</v>
      </c>
      <c r="I20" s="101">
        <v>0.24449000000000001</v>
      </c>
      <c r="J20" s="101">
        <v>0.33010900000000004</v>
      </c>
      <c r="K20" s="101">
        <v>0.971638</v>
      </c>
      <c r="L20" s="101">
        <v>5.8956000000000001E-2</v>
      </c>
      <c r="M20" s="101">
        <v>0.15902699999999997</v>
      </c>
      <c r="N20" s="101">
        <v>-0.75526000000000937</v>
      </c>
      <c r="O20" s="101">
        <v>0</v>
      </c>
      <c r="P20" s="101">
        <v>1.1359999999999999</v>
      </c>
      <c r="Q20" s="101">
        <f>P20+N20+M20+O20+L20</f>
        <v>0.59872299999999057</v>
      </c>
      <c r="R20" s="101">
        <v>2.6069999999999999E-2</v>
      </c>
      <c r="S20" s="101">
        <v>0.14711400000000002</v>
      </c>
      <c r="T20" s="101">
        <v>0.11538299999999999</v>
      </c>
      <c r="V20" s="108"/>
    </row>
    <row r="21" spans="1:22" x14ac:dyDescent="0.25">
      <c r="A21" s="25" t="s">
        <v>134</v>
      </c>
      <c r="B21" s="102">
        <f t="shared" ref="B21:E21" si="29">+SUM(B18:B20)</f>
        <v>70.814491999999987</v>
      </c>
      <c r="C21" s="102">
        <f t="shared" si="29"/>
        <v>84.935299999999984</v>
      </c>
      <c r="D21" s="102">
        <f t="shared" si="29"/>
        <v>87.229245999999918</v>
      </c>
      <c r="E21" s="102">
        <f t="shared" si="29"/>
        <v>98.183552000000205</v>
      </c>
      <c r="F21" s="102">
        <f t="shared" ref="F21" si="30">+SUM(F18:F20)</f>
        <v>341.16259000000008</v>
      </c>
      <c r="G21" s="102">
        <f t="shared" ref="G21" si="31">+SUM(G18:G20)</f>
        <v>98.388574000000034</v>
      </c>
      <c r="H21" s="102">
        <f t="shared" ref="H21" si="32">+SUM(H18:H20)</f>
        <v>117.28103800000012</v>
      </c>
      <c r="I21" s="102">
        <f t="shared" ref="I21" si="33">+SUM(I18:I20)</f>
        <v>122.28026699999977</v>
      </c>
      <c r="J21" s="102">
        <f t="shared" ref="J21" si="34">+SUM(J18:J20)</f>
        <v>124.15803800000016</v>
      </c>
      <c r="K21" s="102">
        <f>G21+H21+I21+J21</f>
        <v>462.10791700000004</v>
      </c>
      <c r="L21" s="102">
        <f t="shared" ref="L21" si="35">+SUM(L18:L20)</f>
        <v>120.79133200000001</v>
      </c>
      <c r="M21" s="102">
        <f t="shared" ref="M21" si="36">+SUM(M18:M20)</f>
        <v>137.79289099999971</v>
      </c>
      <c r="N21" s="102">
        <f t="shared" ref="N21" si="37">+SUM(N18:N20)</f>
        <v>130.09873999999996</v>
      </c>
      <c r="O21" s="102">
        <f>+SUM(O18:O20)</f>
        <v>-4.3999999954280611E-4</v>
      </c>
      <c r="P21" s="102">
        <f>+SUM(P18:P20)</f>
        <v>158.30599999999998</v>
      </c>
      <c r="Q21" s="102">
        <f>P21+N21+M21+O21+L21</f>
        <v>546.9885230000001</v>
      </c>
      <c r="R21" s="102">
        <f>+SUM(R18:R20)</f>
        <v>158.58008800000002</v>
      </c>
      <c r="S21" s="102">
        <f>+SUM(S18:S20)</f>
        <v>197.199769</v>
      </c>
      <c r="T21" s="102">
        <f>+SUM(T18:T20)</f>
        <v>172.66281900000001</v>
      </c>
      <c r="V21" s="108"/>
    </row>
    <row r="22" spans="1:22" x14ac:dyDescent="0.25">
      <c r="A22" s="26" t="s">
        <v>118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>
        <v>0</v>
      </c>
      <c r="Q22" s="103"/>
      <c r="R22" s="103"/>
      <c r="S22" s="103"/>
      <c r="T22" s="103"/>
      <c r="V22" s="108"/>
    </row>
    <row r="23" spans="1:22" x14ac:dyDescent="0.25">
      <c r="A23" s="24" t="s">
        <v>129</v>
      </c>
      <c r="B23" s="101">
        <v>2.2540000000000377E-3</v>
      </c>
      <c r="C23" s="101">
        <v>0</v>
      </c>
      <c r="D23" s="101">
        <v>6.2100000000000002E-4</v>
      </c>
      <c r="E23" s="101">
        <v>4.9777999999999961E-2</v>
      </c>
      <c r="F23" s="101">
        <f t="shared" ref="F23:F25" si="38">+SUM(B23:E23)</f>
        <v>5.2652999999999998E-2</v>
      </c>
      <c r="G23" s="101">
        <v>0.25208000000000003</v>
      </c>
      <c r="H23" s="101">
        <v>0.43382999999999994</v>
      </c>
      <c r="I23" s="101">
        <v>0.16199400000000003</v>
      </c>
      <c r="J23" s="101">
        <v>0.16401099999999996</v>
      </c>
      <c r="K23" s="101">
        <v>1.0119149999999999</v>
      </c>
      <c r="L23" s="101">
        <v>0.117175</v>
      </c>
      <c r="M23" s="101">
        <v>0.31105199999999994</v>
      </c>
      <c r="N23" s="101">
        <v>-0.11497599999999999</v>
      </c>
      <c r="O23" s="101">
        <v>8.3000000000055252E-5</v>
      </c>
      <c r="P23" s="101">
        <v>0.57899999999999996</v>
      </c>
      <c r="Q23" s="101">
        <f>P23+N23+M23+O23+L23</f>
        <v>0.89233399999999996</v>
      </c>
      <c r="R23" s="101">
        <v>0.622865</v>
      </c>
      <c r="S23" s="101">
        <v>3.9483060000000001</v>
      </c>
      <c r="T23" s="101">
        <v>-1.670587</v>
      </c>
      <c r="V23" s="108"/>
    </row>
    <row r="24" spans="1:22" x14ac:dyDescent="0.25">
      <c r="A24" s="24" t="s">
        <v>130</v>
      </c>
      <c r="B24" s="101">
        <v>7.3914000000000007E-2</v>
      </c>
      <c r="C24" s="101">
        <v>6.1659000000000005E-2</v>
      </c>
      <c r="D24" s="101">
        <v>2.2593030000000001</v>
      </c>
      <c r="E24" s="101">
        <v>2.2932539999999992</v>
      </c>
      <c r="F24" s="101">
        <f t="shared" si="38"/>
        <v>4.6881299999999992</v>
      </c>
      <c r="G24" s="101">
        <v>0</v>
      </c>
      <c r="H24" s="101">
        <v>0</v>
      </c>
      <c r="I24" s="101">
        <v>0.116177</v>
      </c>
      <c r="J24" s="101">
        <v>-3.0000000000001136E-5</v>
      </c>
      <c r="K24" s="101">
        <v>0.116147</v>
      </c>
      <c r="L24" s="101">
        <v>0</v>
      </c>
      <c r="M24" s="101">
        <v>-5.3211000000000001E-2</v>
      </c>
      <c r="N24" s="101">
        <v>0</v>
      </c>
      <c r="O24" s="101">
        <v>-2.0999999999998797E-4</v>
      </c>
      <c r="P24" s="101">
        <v>-8.0000000000000002E-3</v>
      </c>
      <c r="Q24" s="101">
        <f>P24+N24+M24+O24+L24</f>
        <v>-6.1420999999999989E-2</v>
      </c>
      <c r="R24" s="101">
        <v>4.6962080000000004</v>
      </c>
      <c r="S24" s="101">
        <v>19.057766000000001</v>
      </c>
      <c r="T24" s="101">
        <v>33.247391</v>
      </c>
      <c r="V24" s="108"/>
    </row>
    <row r="25" spans="1:22" x14ac:dyDescent="0.25">
      <c r="A25" s="24" t="s">
        <v>128</v>
      </c>
      <c r="B25" s="101">
        <v>13.866311</v>
      </c>
      <c r="C25" s="101">
        <v>13.391973</v>
      </c>
      <c r="D25" s="101">
        <v>13.437171000000003</v>
      </c>
      <c r="E25" s="101">
        <v>13.219676999999995</v>
      </c>
      <c r="F25" s="101">
        <f t="shared" si="38"/>
        <v>53.915132</v>
      </c>
      <c r="G25" s="101">
        <v>15.957944000000001</v>
      </c>
      <c r="H25" s="101">
        <v>15.101458999999997</v>
      </c>
      <c r="I25" s="101">
        <v>16.379454000000006</v>
      </c>
      <c r="J25" s="101">
        <v>16.988773999999999</v>
      </c>
      <c r="K25" s="101">
        <v>64.427630999999991</v>
      </c>
      <c r="L25" s="101">
        <v>24.699589</v>
      </c>
      <c r="M25" s="101">
        <v>25.648137999999999</v>
      </c>
      <c r="N25" s="101">
        <v>25.954250999999999</v>
      </c>
      <c r="O25" s="101">
        <v>1.2340000000008899E-2</v>
      </c>
      <c r="P25" s="101">
        <v>25.643999999999998</v>
      </c>
      <c r="Q25" s="101">
        <f>P25+N25+M25+O25+L25</f>
        <v>101.95831800000001</v>
      </c>
      <c r="R25" s="101">
        <v>76.494844000000001</v>
      </c>
      <c r="S25" s="101">
        <v>180.37210099999999</v>
      </c>
      <c r="T25" s="101">
        <v>72.041909000000004</v>
      </c>
      <c r="V25" s="108"/>
    </row>
    <row r="26" spans="1:22" x14ac:dyDescent="0.25">
      <c r="A26" s="25" t="s">
        <v>135</v>
      </c>
      <c r="B26" s="102">
        <f t="shared" ref="B26:E26" si="39">+SUM(B23:B25)</f>
        <v>13.942479000000001</v>
      </c>
      <c r="C26" s="102">
        <f t="shared" si="39"/>
        <v>13.453632000000001</v>
      </c>
      <c r="D26" s="102">
        <f t="shared" si="39"/>
        <v>15.697095000000003</v>
      </c>
      <c r="E26" s="102">
        <f t="shared" si="39"/>
        <v>15.562708999999995</v>
      </c>
      <c r="F26" s="102">
        <f t="shared" ref="F26" si="40">+SUM(F23:F25)</f>
        <v>58.655915</v>
      </c>
      <c r="G26" s="102">
        <f t="shared" ref="G26" si="41">+SUM(G23:G25)</f>
        <v>16.210024000000001</v>
      </c>
      <c r="H26" s="102">
        <f t="shared" ref="H26" si="42">+SUM(H23:H25)</f>
        <v>15.535288999999997</v>
      </c>
      <c r="I26" s="102">
        <f t="shared" ref="I26" si="43">+SUM(I23:I25)</f>
        <v>16.657625000000007</v>
      </c>
      <c r="J26" s="102">
        <f t="shared" ref="J26" si="44">+SUM(J23:J25)</f>
        <v>17.152754999999999</v>
      </c>
      <c r="K26" s="102">
        <f>G26+H26+I26+J26</f>
        <v>65.555693000000005</v>
      </c>
      <c r="L26" s="102">
        <f t="shared" ref="L26" si="45">+SUM(L23:L25)</f>
        <v>24.816763999999999</v>
      </c>
      <c r="M26" s="102">
        <f t="shared" ref="M26" si="46">+SUM(M23:M25)</f>
        <v>25.905978999999999</v>
      </c>
      <c r="N26" s="102">
        <f t="shared" ref="N26" si="47">+SUM(N23:N25)</f>
        <v>25.839275000000001</v>
      </c>
      <c r="O26" s="102">
        <v>1.2213000000002694E-2</v>
      </c>
      <c r="P26" s="102">
        <f>+SUM(P23:P25)</f>
        <v>26.215</v>
      </c>
      <c r="Q26" s="102">
        <f>P26+N26+M26+O26+L26</f>
        <v>102.789231</v>
      </c>
      <c r="R26" s="102">
        <f t="shared" ref="R26:T26" si="48">+SUM(R23:R25)</f>
        <v>81.813917000000004</v>
      </c>
      <c r="S26" s="102">
        <f t="shared" si="48"/>
        <v>203.37817299999998</v>
      </c>
      <c r="T26" s="102">
        <f t="shared" si="48"/>
        <v>103.618713</v>
      </c>
      <c r="V26" s="108"/>
    </row>
    <row r="27" spans="1:22" x14ac:dyDescent="0.25">
      <c r="A27" s="26" t="s">
        <v>136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V27" s="108"/>
    </row>
    <row r="28" spans="1:22" x14ac:dyDescent="0.25">
      <c r="A28" s="24" t="s">
        <v>129</v>
      </c>
      <c r="B28" s="101">
        <f>+B3+B8+B13+B18+B23</f>
        <v>366.06318199999998</v>
      </c>
      <c r="C28" s="101">
        <f>+C3+C8+C13+C18+C23</f>
        <v>399.63450100000006</v>
      </c>
      <c r="D28" s="101">
        <f>+D3+D8+D13+D18+D23</f>
        <v>344.76476899999989</v>
      </c>
      <c r="E28" s="101">
        <f>+E3+E8+E13+E18+E23</f>
        <v>458.55345299999999</v>
      </c>
      <c r="F28" s="101">
        <f t="shared" ref="F28:F31" si="49">+SUM(B28:E28)</f>
        <v>1569.015905</v>
      </c>
      <c r="G28" s="101">
        <v>439.23154799999998</v>
      </c>
      <c r="H28" s="101">
        <v>548.75858299999993</v>
      </c>
      <c r="I28" s="101">
        <v>499.91783199999986</v>
      </c>
      <c r="J28" s="101">
        <v>710.84666300000004</v>
      </c>
      <c r="K28" s="101">
        <v>2198.7546259999999</v>
      </c>
      <c r="L28" s="101">
        <v>651.27333999999996</v>
      </c>
      <c r="M28" s="101">
        <v>725.04829799999993</v>
      </c>
      <c r="N28" s="101">
        <v>672.64266599999996</v>
      </c>
      <c r="O28" s="101">
        <v>7.9193100000002232</v>
      </c>
      <c r="P28" s="101">
        <f t="shared" ref="P28" si="50">+P3+P8+P13+P18+P23</f>
        <v>835.03099999999995</v>
      </c>
      <c r="Q28" s="101">
        <f>P28+N28+M28+O28+L28</f>
        <v>2891.9146140000003</v>
      </c>
      <c r="R28" s="101">
        <f t="shared" ref="R28:S30" si="51">+R3+R8+R13+R18+R23</f>
        <v>810.1241100000002</v>
      </c>
      <c r="S28" s="101">
        <f>+S3+S8+S13+S18+S23</f>
        <v>877.62215599999979</v>
      </c>
      <c r="T28" s="122">
        <f>+T3+T8+T13+T18+T23</f>
        <v>863.68782200000021</v>
      </c>
      <c r="V28" s="108"/>
    </row>
    <row r="29" spans="1:22" x14ac:dyDescent="0.25">
      <c r="A29" s="24" t="s">
        <v>130</v>
      </c>
      <c r="B29" s="101">
        <f t="shared" ref="B29:E30" si="52">+B4+B9+B14+B19+B24</f>
        <v>257.29100900000003</v>
      </c>
      <c r="C29" s="101">
        <f t="shared" si="52"/>
        <v>378.30689900000084</v>
      </c>
      <c r="D29" s="101">
        <f t="shared" si="52"/>
        <v>244.68140099999908</v>
      </c>
      <c r="E29" s="101">
        <f t="shared" si="52"/>
        <v>356.73743500000018</v>
      </c>
      <c r="F29" s="101">
        <f t="shared" si="49"/>
        <v>1237.0167440000002</v>
      </c>
      <c r="G29" s="101">
        <v>351.07613600000013</v>
      </c>
      <c r="H29" s="101">
        <v>434.47977100000065</v>
      </c>
      <c r="I29" s="101">
        <v>295.9460039999999</v>
      </c>
      <c r="J29" s="101">
        <v>519.41851900000074</v>
      </c>
      <c r="K29" s="101">
        <v>1600.9204300000015</v>
      </c>
      <c r="L29" s="101">
        <v>458.31857100000008</v>
      </c>
      <c r="M29" s="101">
        <v>660.71898100000101</v>
      </c>
      <c r="N29" s="101">
        <v>551.22529299999962</v>
      </c>
      <c r="O29" s="101">
        <v>-1.1200000108146924E-4</v>
      </c>
      <c r="P29" s="101">
        <f>+P4+P9+P14+P19+P24-2.573</f>
        <v>665.63299999999992</v>
      </c>
      <c r="Q29" s="101">
        <f>P29+N29+M29+O29+L29</f>
        <v>2335.8957329999998</v>
      </c>
      <c r="R29" s="101">
        <f t="shared" si="51"/>
        <v>636.8056620000001</v>
      </c>
      <c r="S29" s="101">
        <f t="shared" si="51"/>
        <v>798.08917199999996</v>
      </c>
      <c r="T29" s="122">
        <f>+T4+T9+T14+T19+T24</f>
        <v>694.80205100000001</v>
      </c>
      <c r="V29" s="108"/>
    </row>
    <row r="30" spans="1:22" x14ac:dyDescent="0.25">
      <c r="A30" s="24" t="s">
        <v>128</v>
      </c>
      <c r="B30" s="101">
        <f t="shared" si="52"/>
        <v>24.025022999999997</v>
      </c>
      <c r="C30" s="101">
        <f t="shared" si="52"/>
        <v>30.668664</v>
      </c>
      <c r="D30" s="101">
        <f t="shared" si="52"/>
        <v>17.629173000000002</v>
      </c>
      <c r="E30" s="101">
        <f t="shared" si="52"/>
        <v>3.3164539999999931</v>
      </c>
      <c r="F30" s="101">
        <f t="shared" si="49"/>
        <v>75.639313999999985</v>
      </c>
      <c r="G30" s="101">
        <v>9.4568829999999995</v>
      </c>
      <c r="H30" s="101">
        <v>47.278937999999997</v>
      </c>
      <c r="I30" s="101">
        <v>37.750138000000007</v>
      </c>
      <c r="J30" s="101">
        <v>60.653552000000005</v>
      </c>
      <c r="K30" s="101">
        <v>155.13951100000003</v>
      </c>
      <c r="L30" s="101">
        <v>71.510842999999994</v>
      </c>
      <c r="M30" s="101">
        <v>154.62277900000001</v>
      </c>
      <c r="N30" s="101">
        <v>54.476615999999993</v>
      </c>
      <c r="O30" s="101">
        <v>8.6488095429204463</v>
      </c>
      <c r="P30" s="101">
        <f>+P5+P10+P15+P20+P25-26.358</f>
        <v>43.968999999999994</v>
      </c>
      <c r="Q30" s="101">
        <f>P30+N30+M30+O30+L30</f>
        <v>333.22804754292042</v>
      </c>
      <c r="R30" s="101">
        <f t="shared" si="51"/>
        <v>72.488973999999999</v>
      </c>
      <c r="S30" s="101">
        <f>+S5+S10+S15+S20+S25</f>
        <v>185.40845299999998</v>
      </c>
      <c r="T30" s="101">
        <f>+T5+T10+T15+T20+T25</f>
        <v>75.088022000000009</v>
      </c>
      <c r="V30" s="108"/>
    </row>
    <row r="31" spans="1:22" x14ac:dyDescent="0.25">
      <c r="A31" s="24" t="s">
        <v>119</v>
      </c>
      <c r="B31" s="101">
        <v>-44.878326000000001</v>
      </c>
      <c r="C31" s="101">
        <v>-49.530746999999977</v>
      </c>
      <c r="D31" s="101">
        <v>-41.739585000000019</v>
      </c>
      <c r="E31" s="101">
        <v>-57.17478999999998</v>
      </c>
      <c r="F31" s="101">
        <f t="shared" si="49"/>
        <v>-193.32344799999998</v>
      </c>
      <c r="G31" s="101">
        <v>-63.834741000000001</v>
      </c>
      <c r="H31" s="101">
        <v>-56.044302999999978</v>
      </c>
      <c r="I31" s="101">
        <v>-72.075640000000035</v>
      </c>
      <c r="J31" s="101">
        <v>-104.07268000974308</v>
      </c>
      <c r="K31" s="101">
        <v>-296.02736400974311</v>
      </c>
      <c r="L31" s="101">
        <v>-109.93064991811762</v>
      </c>
      <c r="M31" s="101">
        <v>-124.63503608188233</v>
      </c>
      <c r="N31" s="101">
        <v>-72.353204999999704</v>
      </c>
      <c r="O31" s="101">
        <v>-15.5682679999936</v>
      </c>
      <c r="P31" s="101">
        <v>-37.99</v>
      </c>
      <c r="Q31" s="101">
        <f>P31+N31+M31+O31+L31</f>
        <v>-360.47715899999326</v>
      </c>
      <c r="R31" s="101">
        <v>-103.15316000000003</v>
      </c>
      <c r="S31" s="101">
        <v>-145.69742200000002</v>
      </c>
      <c r="T31" s="101">
        <v>-173.51419499999994</v>
      </c>
      <c r="V31" s="108"/>
    </row>
    <row r="32" spans="1:22" x14ac:dyDescent="0.25">
      <c r="A32" s="17" t="s">
        <v>137</v>
      </c>
      <c r="B32" s="104">
        <f t="shared" ref="B32:F32" si="53">+SUM(B28:B31)</f>
        <v>602.50088800000003</v>
      </c>
      <c r="C32" s="104">
        <f t="shared" si="53"/>
        <v>759.07931700000086</v>
      </c>
      <c r="D32" s="104">
        <f t="shared" si="53"/>
        <v>565.33575799999903</v>
      </c>
      <c r="E32" s="104">
        <f t="shared" si="53"/>
        <v>761.43255200000021</v>
      </c>
      <c r="F32" s="104">
        <f t="shared" si="53"/>
        <v>2688.3485150000001</v>
      </c>
      <c r="G32" s="104">
        <f t="shared" ref="G32" si="54">+SUM(G28:G31)</f>
        <v>735.92982600000005</v>
      </c>
      <c r="H32" s="104">
        <f t="shared" ref="H32" si="55">+SUM(H28:H31)</f>
        <v>974.47298900000044</v>
      </c>
      <c r="I32" s="104">
        <f t="shared" ref="I32" si="56">+SUM(I28:I31)</f>
        <v>761.53833399999974</v>
      </c>
      <c r="J32" s="104">
        <f t="shared" ref="J32" si="57">+SUM(J28:J31)</f>
        <v>1186.8460539902576</v>
      </c>
      <c r="K32" s="102">
        <f>G32+H32+I32+J32</f>
        <v>3658.7872029902578</v>
      </c>
      <c r="L32" s="104">
        <f t="shared" ref="L32" si="58">+SUM(L28:L31)</f>
        <v>1071.1721040818825</v>
      </c>
      <c r="M32" s="104">
        <f>+SUM(M28:M31)</f>
        <v>1415.7550219181187</v>
      </c>
      <c r="N32" s="104">
        <f t="shared" ref="N32:P32" si="59">+SUM(N28:N31)</f>
        <v>1205.99137</v>
      </c>
      <c r="O32" s="104"/>
      <c r="P32" s="104">
        <f t="shared" si="59"/>
        <v>1506.6429999999998</v>
      </c>
      <c r="Q32" s="102">
        <f>P32+N32+M32+L32</f>
        <v>5199.5614960000003</v>
      </c>
      <c r="R32" s="102">
        <f>+SUM(R28:R31)</f>
        <v>1416.2655860000004</v>
      </c>
      <c r="S32" s="102">
        <f>+SUM(S28:S31)</f>
        <v>1715.4223589999999</v>
      </c>
      <c r="T32" s="102">
        <v>1460.0636999999999</v>
      </c>
      <c r="V32" s="108"/>
    </row>
    <row r="33" spans="1:22" s="14" customForma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22" s="14" customFormat="1" x14ac:dyDescent="0.25">
      <c r="A34" s="28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73"/>
      <c r="Q34" s="20"/>
      <c r="R34" s="20"/>
      <c r="S34" s="20"/>
      <c r="V34" s="108"/>
    </row>
    <row r="35" spans="1:22" s="14" customFormat="1" x14ac:dyDescent="0.25">
      <c r="A35" s="2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1:22" s="14" customFormat="1" x14ac:dyDescent="0.25">
      <c r="A36" s="28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22" s="11" customFormat="1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22" s="11" customFormat="1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22" s="11" customFormat="1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22" s="11" customFormat="1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22" s="11" customFormat="1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22" s="11" customFormat="1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22" s="11" customFormat="1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22" s="11" customFormat="1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22" s="11" customFormat="1" x14ac:dyDescent="0.25">
      <c r="A45" s="28"/>
    </row>
    <row r="46" spans="1:22" s="11" customFormat="1" x14ac:dyDescent="0.25">
      <c r="A46" s="28"/>
    </row>
    <row r="47" spans="1:22" s="11" customFormat="1" x14ac:dyDescent="0.25">
      <c r="A47" s="28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22" s="11" customFormat="1" x14ac:dyDescent="0.25">
      <c r="A48" s="2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1" customFormat="1" x14ac:dyDescent="0.25">
      <c r="A49" s="2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1" customFormat="1" x14ac:dyDescent="0.25">
      <c r="A50" s="28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1" customFormat="1" x14ac:dyDescent="0.25">
      <c r="A51" s="28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s="11" customFormat="1" x14ac:dyDescent="0.25"/>
    <row r="53" spans="1:19" s="11" customFormat="1" x14ac:dyDescent="0.25"/>
    <row r="54" spans="1:19" s="11" customFormat="1" x14ac:dyDescent="0.25"/>
    <row r="55" spans="1:19" s="11" customFormat="1" x14ac:dyDescent="0.25"/>
    <row r="56" spans="1:19" s="11" customFormat="1" x14ac:dyDescent="0.25"/>
    <row r="57" spans="1:19" s="11" customFormat="1" x14ac:dyDescent="0.25"/>
    <row r="58" spans="1:19" s="11" customFormat="1" x14ac:dyDescent="0.25"/>
    <row r="59" spans="1:19" s="11" customFormat="1" x14ac:dyDescent="0.25"/>
  </sheetData>
  <phoneticPr fontId="16" type="noConversion"/>
  <pageMargins left="0.7" right="0.7" top="0.75" bottom="0.75" header="0.3" footer="0.3"/>
  <pageSetup paperSize="9" orientation="portrait" verticalDpi="0" r:id="rId1"/>
  <ignoredErrors>
    <ignoredError sqref="F32 F28:F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A63"/>
  <sheetViews>
    <sheetView workbookViewId="0">
      <pane xSplit="1" topLeftCell="O1" activePane="topRight" state="frozen"/>
      <selection activeCell="N34" sqref="N34"/>
      <selection pane="topRight" activeCell="L21" sqref="L21"/>
    </sheetView>
  </sheetViews>
  <sheetFormatPr defaultColWidth="9.28515625" defaultRowHeight="15" x14ac:dyDescent="0.25"/>
  <cols>
    <col min="1" max="1" width="17.42578125" customWidth="1"/>
    <col min="2" max="3" width="6.85546875" customWidth="1"/>
    <col min="4" max="12" width="6.85546875" style="30" customWidth="1"/>
    <col min="13" max="15" width="6.85546875" style="28" customWidth="1"/>
    <col min="16" max="21" width="6.85546875" style="30" customWidth="1"/>
    <col min="22" max="23" width="11" style="30" customWidth="1"/>
    <col min="24" max="25" width="11" style="28" customWidth="1"/>
    <col min="26" max="26" width="11" style="30" customWidth="1"/>
    <col min="27" max="34" width="11" style="28" customWidth="1"/>
    <col min="35" max="79" width="9.28515625" style="28" customWidth="1"/>
    <col min="80" max="16384" width="9.28515625" style="30"/>
  </cols>
  <sheetData>
    <row r="1" spans="1:79" customFormat="1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150</v>
      </c>
      <c r="W1" s="7" t="s">
        <v>149</v>
      </c>
      <c r="X1" s="7" t="s">
        <v>148</v>
      </c>
      <c r="Y1" s="7" t="s">
        <v>147</v>
      </c>
      <c r="Z1" s="7">
        <v>2021</v>
      </c>
      <c r="AA1" s="7" t="s">
        <v>146</v>
      </c>
      <c r="AB1" s="7" t="s">
        <v>144</v>
      </c>
      <c r="AC1" s="7" t="s">
        <v>145</v>
      </c>
      <c r="AD1" s="7" t="s">
        <v>17</v>
      </c>
      <c r="AE1" s="7">
        <v>2022</v>
      </c>
      <c r="AF1" s="7" t="s">
        <v>18</v>
      </c>
      <c r="AG1" s="7" t="s">
        <v>151</v>
      </c>
      <c r="AH1" s="7" t="s">
        <v>154</v>
      </c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</row>
    <row r="2" spans="1:79" customFormat="1" x14ac:dyDescent="0.25">
      <c r="A2" s="26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</row>
    <row r="3" spans="1:79" customFormat="1" x14ac:dyDescent="0.25">
      <c r="A3" s="5" t="s">
        <v>129</v>
      </c>
      <c r="B3" s="105">
        <v>93.812371609983245</v>
      </c>
      <c r="C3" s="105">
        <v>98.700832977720196</v>
      </c>
      <c r="D3" s="105">
        <v>85.113382475178653</v>
      </c>
      <c r="E3" s="105">
        <v>111.88899999999995</v>
      </c>
      <c r="F3" s="105">
        <f>+SUM(B3:E3)</f>
        <v>389.51558706288205</v>
      </c>
      <c r="G3" s="105">
        <v>109.83516536867896</v>
      </c>
      <c r="H3" s="105">
        <v>115.37816148136737</v>
      </c>
      <c r="I3" s="105">
        <v>102.55905594373267</v>
      </c>
      <c r="J3" s="105">
        <v>136.56750848379966</v>
      </c>
      <c r="K3" s="105">
        <f t="shared" ref="K3:K5" si="0">+SUM(G3:J3)</f>
        <v>464.33989127757866</v>
      </c>
      <c r="L3" s="105">
        <v>139.55085600000001</v>
      </c>
      <c r="M3" s="105">
        <v>135.52920099999994</v>
      </c>
      <c r="N3" s="105">
        <v>121.31917500000003</v>
      </c>
      <c r="O3" s="105">
        <v>158.60403600000006</v>
      </c>
      <c r="P3" s="105">
        <f t="shared" ref="P3:P5" si="1">+SUM(L3:O3)</f>
        <v>555.00326800000005</v>
      </c>
      <c r="Q3" s="105">
        <v>168.61436699999999</v>
      </c>
      <c r="R3" s="105">
        <v>170.375968</v>
      </c>
      <c r="S3" s="105">
        <v>135.60373800000002</v>
      </c>
      <c r="T3" s="105">
        <v>173.62776799999997</v>
      </c>
      <c r="U3" s="105">
        <f>+SUM(Q3:T3)</f>
        <v>648.22184099999993</v>
      </c>
      <c r="V3" s="105">
        <v>192.83741199999997</v>
      </c>
      <c r="W3" s="105">
        <v>226.90894800000001</v>
      </c>
      <c r="X3" s="105">
        <v>197.29050999999995</v>
      </c>
      <c r="Y3" s="105">
        <v>247.79570000000004</v>
      </c>
      <c r="Z3" s="105">
        <v>864.83256999999992</v>
      </c>
      <c r="AA3" s="105">
        <v>254.38636199999999</v>
      </c>
      <c r="AB3" s="105">
        <v>246.322711</v>
      </c>
      <c r="AC3" s="105">
        <v>219.41266899999999</v>
      </c>
      <c r="AD3" s="105">
        <v>279.56400000000002</v>
      </c>
      <c r="AE3" s="105">
        <f>AD3+AC3+AB3+AA3</f>
        <v>999.685742</v>
      </c>
      <c r="AF3" s="105">
        <v>316.09956200000005</v>
      </c>
      <c r="AG3" s="105">
        <v>299.54483199999999</v>
      </c>
      <c r="AH3" s="105">
        <v>265.34647700000005</v>
      </c>
      <c r="AI3" s="14"/>
      <c r="AJ3" s="108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</row>
    <row r="4" spans="1:79" customFormat="1" x14ac:dyDescent="0.25">
      <c r="A4" s="5" t="s">
        <v>130</v>
      </c>
      <c r="B4" s="105">
        <v>78.929120772983623</v>
      </c>
      <c r="C4" s="105">
        <v>113.44733243789557</v>
      </c>
      <c r="D4" s="105">
        <v>52.830258936125595</v>
      </c>
      <c r="E4" s="105">
        <v>123.48700000000002</v>
      </c>
      <c r="F4" s="105">
        <f t="shared" ref="F4:F5" si="2">+SUM(B4:E4)</f>
        <v>368.69371214700482</v>
      </c>
      <c r="G4" s="105">
        <v>86.359698031980841</v>
      </c>
      <c r="H4" s="105">
        <v>132.10231542551259</v>
      </c>
      <c r="I4" s="105">
        <v>72.994295839334782</v>
      </c>
      <c r="J4" s="105">
        <v>144.94512774963297</v>
      </c>
      <c r="K4" s="105">
        <f t="shared" si="0"/>
        <v>436.40143704646118</v>
      </c>
      <c r="L4" s="105">
        <v>100.65190599999998</v>
      </c>
      <c r="M4" s="105">
        <v>151.28987800000004</v>
      </c>
      <c r="N4" s="105">
        <v>88.275469999999956</v>
      </c>
      <c r="O4" s="105">
        <v>137.78106600000007</v>
      </c>
      <c r="P4" s="105">
        <f t="shared" si="1"/>
        <v>477.99832000000009</v>
      </c>
      <c r="Q4" s="105">
        <v>131.39022700000001</v>
      </c>
      <c r="R4" s="105">
        <v>179.488405</v>
      </c>
      <c r="S4" s="105">
        <v>98.207842999999968</v>
      </c>
      <c r="T4" s="105">
        <v>173.53450300000003</v>
      </c>
      <c r="U4" s="105">
        <f t="shared" ref="U4:U5" si="3">+SUM(Q4:T4)</f>
        <v>582.62097800000004</v>
      </c>
      <c r="V4" s="105">
        <v>152.267777</v>
      </c>
      <c r="W4" s="105">
        <v>184.89434400000005</v>
      </c>
      <c r="X4" s="105">
        <v>121.563</v>
      </c>
      <c r="Y4" s="105">
        <v>189.13269074079</v>
      </c>
      <c r="Z4" s="105">
        <v>647.85781174079011</v>
      </c>
      <c r="AA4" s="105">
        <v>171.73223300000001</v>
      </c>
      <c r="AB4" s="105">
        <v>218.43003900000002</v>
      </c>
      <c r="AC4" s="105">
        <v>153.28634999999997</v>
      </c>
      <c r="AD4" s="105">
        <v>214.267</v>
      </c>
      <c r="AE4" s="105">
        <f>AD4+AC4+AB4+AA4</f>
        <v>757.71562199999994</v>
      </c>
      <c r="AF4" s="105">
        <v>223.81956</v>
      </c>
      <c r="AG4" s="105">
        <v>244.45491000000004</v>
      </c>
      <c r="AH4" s="105">
        <v>186.30642800000001</v>
      </c>
      <c r="AI4" s="14"/>
      <c r="AJ4" s="108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</row>
    <row r="5" spans="1:79" customFormat="1" x14ac:dyDescent="0.25">
      <c r="A5" s="5" t="s">
        <v>128</v>
      </c>
      <c r="B5" s="105">
        <v>2.6971701205320802</v>
      </c>
      <c r="C5" s="105">
        <v>0.94488527755214213</v>
      </c>
      <c r="D5" s="105">
        <v>0.58344266540614997</v>
      </c>
      <c r="E5" s="105">
        <v>0.80200000000000005</v>
      </c>
      <c r="F5" s="105">
        <f t="shared" si="2"/>
        <v>5.0274980634903716</v>
      </c>
      <c r="G5" s="105">
        <v>1.1585134020365413</v>
      </c>
      <c r="H5" s="105">
        <v>1.9045179264998069</v>
      </c>
      <c r="I5" s="105">
        <v>0.46684008134009447</v>
      </c>
      <c r="J5" s="105">
        <v>0.79780287957933116</v>
      </c>
      <c r="K5" s="105">
        <f t="shared" si="0"/>
        <v>4.327674289455774</v>
      </c>
      <c r="L5" s="105">
        <v>0.92615499999999995</v>
      </c>
      <c r="M5" s="105">
        <v>2.6850000000000485E-3</v>
      </c>
      <c r="N5" s="105">
        <v>0.93818799999999991</v>
      </c>
      <c r="O5" s="105">
        <v>1.1330689999999999</v>
      </c>
      <c r="P5" s="105">
        <f t="shared" si="1"/>
        <v>3.0000969999999998</v>
      </c>
      <c r="Q5" s="105">
        <v>-0.10408100000000001</v>
      </c>
      <c r="R5" s="105">
        <v>2.0947600000000004</v>
      </c>
      <c r="S5" s="105">
        <v>1.5745579999999999</v>
      </c>
      <c r="T5" s="105">
        <v>1.0490339999999996</v>
      </c>
      <c r="U5" s="105">
        <f t="shared" si="3"/>
        <v>4.6142709999999996</v>
      </c>
      <c r="V5" s="105">
        <v>1.10633</v>
      </c>
      <c r="W5" s="105">
        <v>-0.50003799999999987</v>
      </c>
      <c r="X5" s="105">
        <v>1.1878849999999999</v>
      </c>
      <c r="Y5" s="105">
        <v>1.8262630000000002</v>
      </c>
      <c r="Z5" s="105">
        <v>3.6204400000000003</v>
      </c>
      <c r="AA5" s="105">
        <v>0.450241</v>
      </c>
      <c r="AB5" s="105">
        <v>3.6880540000000002</v>
      </c>
      <c r="AC5" s="105">
        <v>0.99987799999999971</v>
      </c>
      <c r="AD5" s="105">
        <v>2.1374019999999998</v>
      </c>
      <c r="AE5" s="105">
        <f>AD5+AC5+AB5+AA5</f>
        <v>7.2755749999999999</v>
      </c>
      <c r="AF5" s="105">
        <v>-1.349818</v>
      </c>
      <c r="AG5" s="105">
        <v>1.2582749999999998</v>
      </c>
      <c r="AH5" s="105">
        <v>-1.1624609999999997</v>
      </c>
      <c r="AI5" s="14"/>
      <c r="AJ5" s="108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</row>
    <row r="6" spans="1:79" customFormat="1" x14ac:dyDescent="0.25">
      <c r="A6" s="6" t="s">
        <v>138</v>
      </c>
      <c r="B6" s="95">
        <f>+SUM(B3:B5)</f>
        <v>175.43866250349896</v>
      </c>
      <c r="C6" s="95">
        <f t="shared" ref="C6:L6" si="4">+SUM(C3:C5)</f>
        <v>213.09305069316792</v>
      </c>
      <c r="D6" s="95">
        <f t="shared" si="4"/>
        <v>138.52708407671039</v>
      </c>
      <c r="E6" s="95">
        <f t="shared" si="4"/>
        <v>236.17799999999997</v>
      </c>
      <c r="F6" s="95">
        <f t="shared" si="4"/>
        <v>763.23679727337731</v>
      </c>
      <c r="G6" s="95">
        <f t="shared" si="4"/>
        <v>197.35337680269635</v>
      </c>
      <c r="H6" s="95">
        <f t="shared" si="4"/>
        <v>249.38499483337978</v>
      </c>
      <c r="I6" s="95">
        <f t="shared" si="4"/>
        <v>176.02019186440754</v>
      </c>
      <c r="J6" s="95">
        <f t="shared" si="4"/>
        <v>282.31043911301197</v>
      </c>
      <c r="K6" s="95">
        <f>+SUM(K3:K5)</f>
        <v>905.06900261349563</v>
      </c>
      <c r="L6" s="95">
        <f t="shared" si="4"/>
        <v>241.128917</v>
      </c>
      <c r="M6" s="95">
        <f t="shared" ref="M6:O6" si="5">+SUM(M3:M5)</f>
        <v>286.82176399999997</v>
      </c>
      <c r="N6" s="95">
        <f t="shared" si="5"/>
        <v>210.53283299999998</v>
      </c>
      <c r="O6" s="95">
        <f t="shared" si="5"/>
        <v>297.51817100000011</v>
      </c>
      <c r="P6" s="95">
        <f t="shared" ref="P6:U6" si="6">+SUM(P3:P5)</f>
        <v>1036.0016850000002</v>
      </c>
      <c r="Q6" s="95">
        <f t="shared" si="6"/>
        <v>299.90051299999999</v>
      </c>
      <c r="R6" s="95">
        <f t="shared" si="6"/>
        <v>351.95913300000001</v>
      </c>
      <c r="S6" s="95">
        <f t="shared" si="6"/>
        <v>235.38613899999999</v>
      </c>
      <c r="T6" s="95">
        <f t="shared" si="6"/>
        <v>348.21130500000004</v>
      </c>
      <c r="U6" s="95">
        <f t="shared" si="6"/>
        <v>1235.4570899999999</v>
      </c>
      <c r="V6" s="95">
        <f t="shared" ref="V6" si="7">+SUM(V3:V5)</f>
        <v>346.21151900000001</v>
      </c>
      <c r="W6" s="95">
        <f t="shared" ref="W6" si="8">+SUM(W3:W5)</f>
        <v>411.30325400000004</v>
      </c>
      <c r="X6" s="95">
        <f t="shared" ref="X6" si="9">+SUM(X3:X5)</f>
        <v>320.04139499999997</v>
      </c>
      <c r="Y6" s="95">
        <f t="shared" ref="Y6" si="10">+SUM(Y3:Y5)</f>
        <v>438.75465374079005</v>
      </c>
      <c r="Z6" s="95">
        <f t="shared" ref="Z6" si="11">+SUM(Z3:Z5)</f>
        <v>1516.3108217407901</v>
      </c>
      <c r="AA6" s="95">
        <f t="shared" ref="AA6" si="12">+SUM(AA3:AA5)</f>
        <v>426.56883600000003</v>
      </c>
      <c r="AB6" s="95">
        <f t="shared" ref="AB6" si="13">+SUM(AB3:AB5)</f>
        <v>468.44080400000001</v>
      </c>
      <c r="AC6" s="95">
        <f t="shared" ref="AC6" si="14">+SUM(AC3:AC5)</f>
        <v>373.69889699999999</v>
      </c>
      <c r="AD6" s="95">
        <f t="shared" ref="AD6" si="15">+SUM(AD3:AD5)</f>
        <v>495.96840200000003</v>
      </c>
      <c r="AE6" s="95">
        <f>AD6+AC6+AB6+AA6</f>
        <v>1764.6769389999999</v>
      </c>
      <c r="AF6" s="95">
        <f>+SUM(AF3:AF5)</f>
        <v>538.56930399999999</v>
      </c>
      <c r="AG6" s="95">
        <f>+SUM(AG3:AG5)</f>
        <v>545.258017</v>
      </c>
      <c r="AH6" s="95">
        <f>+SUM(AH3:AH5)</f>
        <v>450.49044400000002</v>
      </c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</row>
    <row r="7" spans="1:79" customFormat="1" x14ac:dyDescent="0.25">
      <c r="A7" s="26" t="s">
        <v>115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</row>
    <row r="8" spans="1:79" customFormat="1" x14ac:dyDescent="0.25">
      <c r="A8" s="5" t="s">
        <v>129</v>
      </c>
      <c r="B8" s="105">
        <v>19.32445946721473</v>
      </c>
      <c r="C8" s="105">
        <v>17.487308696784609</v>
      </c>
      <c r="D8" s="105">
        <v>13.237112279987755</v>
      </c>
      <c r="E8" s="105">
        <v>21.838000000000001</v>
      </c>
      <c r="F8" s="105">
        <f t="shared" ref="F8:F10" si="16">+SUM(B8:E8)</f>
        <v>71.886880443987096</v>
      </c>
      <c r="G8" s="105">
        <v>21.223908870667199</v>
      </c>
      <c r="H8" s="105">
        <v>23.738652326428383</v>
      </c>
      <c r="I8" s="105">
        <v>19.758694171032172</v>
      </c>
      <c r="J8" s="105">
        <v>28.823909647017317</v>
      </c>
      <c r="K8" s="105">
        <f t="shared" ref="K8:K10" si="17">+SUM(G8:J8)</f>
        <v>93.545165015145074</v>
      </c>
      <c r="L8" s="105">
        <v>25.949885999999999</v>
      </c>
      <c r="M8" s="105">
        <v>29.562249000000001</v>
      </c>
      <c r="N8" s="105">
        <v>24.51079</v>
      </c>
      <c r="O8" s="105">
        <v>41.566270000000003</v>
      </c>
      <c r="P8" s="105">
        <f t="shared" ref="P8:P10" si="18">+SUM(L8:O8)</f>
        <v>121.589195</v>
      </c>
      <c r="Q8" s="105">
        <v>28.346401</v>
      </c>
      <c r="R8" s="105">
        <v>39.585620000000013</v>
      </c>
      <c r="S8" s="105">
        <v>34.756011999999998</v>
      </c>
      <c r="T8" s="105">
        <v>47.384054000000006</v>
      </c>
      <c r="U8" s="105">
        <f t="shared" ref="U8:U10" si="19">+SUM(Q8:T8)</f>
        <v>150.07208700000001</v>
      </c>
      <c r="V8" s="105">
        <v>40.217500000000001</v>
      </c>
      <c r="W8" s="105">
        <v>54.899354000000017</v>
      </c>
      <c r="X8" s="105">
        <v>50.733632</v>
      </c>
      <c r="Y8" s="105">
        <v>69.486105999999978</v>
      </c>
      <c r="Z8" s="105">
        <v>215.336592</v>
      </c>
      <c r="AA8" s="105">
        <v>54.01596</v>
      </c>
      <c r="AB8" s="105">
        <v>70.746120000000005</v>
      </c>
      <c r="AC8" s="105">
        <v>70.222670999999991</v>
      </c>
      <c r="AD8" s="105">
        <v>93.995999999999995</v>
      </c>
      <c r="AE8" s="105">
        <f>AD8+AC8+AB8+AA8</f>
        <v>288.980751</v>
      </c>
      <c r="AF8" s="105">
        <v>84.585510999999997</v>
      </c>
      <c r="AG8" s="105">
        <v>95.404387999999997</v>
      </c>
      <c r="AH8" s="105">
        <v>107.095803</v>
      </c>
      <c r="AI8" s="14"/>
      <c r="AJ8" s="108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</row>
    <row r="9" spans="1:79" customFormat="1" x14ac:dyDescent="0.25">
      <c r="A9" s="5" t="s">
        <v>130</v>
      </c>
      <c r="B9" s="105">
        <v>21.273538203721685</v>
      </c>
      <c r="C9" s="105">
        <v>55.4572173102504</v>
      </c>
      <c r="D9" s="105">
        <v>26.188889913931497</v>
      </c>
      <c r="E9" s="105">
        <v>36.420999999999992</v>
      </c>
      <c r="F9" s="105">
        <f t="shared" si="16"/>
        <v>139.34064542790358</v>
      </c>
      <c r="G9" s="105">
        <v>30.346294719771347</v>
      </c>
      <c r="H9" s="105">
        <v>56.207165860671566</v>
      </c>
      <c r="I9" s="105">
        <v>38.827368686261963</v>
      </c>
      <c r="J9" s="105">
        <v>46.091610548710541</v>
      </c>
      <c r="K9" s="105">
        <f t="shared" si="17"/>
        <v>171.47243981541541</v>
      </c>
      <c r="L9" s="105">
        <v>34.564709000000001</v>
      </c>
      <c r="M9" s="105">
        <v>69.916988000000003</v>
      </c>
      <c r="N9" s="105">
        <v>54.560760999999985</v>
      </c>
      <c r="O9" s="105">
        <v>71.729468000000026</v>
      </c>
      <c r="P9" s="105">
        <f t="shared" si="18"/>
        <v>230.77192600000001</v>
      </c>
      <c r="Q9" s="105">
        <v>59.730241999999997</v>
      </c>
      <c r="R9" s="105">
        <v>102.29545399999999</v>
      </c>
      <c r="S9" s="105">
        <v>78.198289000000017</v>
      </c>
      <c r="T9" s="105">
        <v>102.52953599999996</v>
      </c>
      <c r="U9" s="105">
        <f t="shared" si="19"/>
        <v>342.75352099999998</v>
      </c>
      <c r="V9" s="105">
        <v>79.177353999999994</v>
      </c>
      <c r="W9" s="105">
        <v>122.94235200000001</v>
      </c>
      <c r="X9" s="105">
        <v>90.693721000000025</v>
      </c>
      <c r="Y9" s="105">
        <v>124.78463400000003</v>
      </c>
      <c r="Z9" s="105">
        <v>417.59806100000009</v>
      </c>
      <c r="AA9" s="105">
        <v>97.325899000000007</v>
      </c>
      <c r="AB9" s="105">
        <v>155.43124899999998</v>
      </c>
      <c r="AC9" s="105">
        <v>130.83706600000005</v>
      </c>
      <c r="AD9" s="105">
        <v>172.45099999999999</v>
      </c>
      <c r="AE9" s="105">
        <f>AD9+AC9+AB9+AA9</f>
        <v>556.0452140000001</v>
      </c>
      <c r="AF9" s="105">
        <v>145.56391900000003</v>
      </c>
      <c r="AG9" s="105">
        <v>244.33065699999995</v>
      </c>
      <c r="AH9" s="105">
        <v>169.90269499999999</v>
      </c>
      <c r="AI9" s="14"/>
      <c r="AJ9" s="108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</row>
    <row r="10" spans="1:79" customFormat="1" x14ac:dyDescent="0.25">
      <c r="A10" s="5" t="s">
        <v>128</v>
      </c>
      <c r="B10" s="105">
        <v>1.9711366180525702</v>
      </c>
      <c r="C10" s="105">
        <v>1.0658807033858599</v>
      </c>
      <c r="D10" s="105">
        <v>0.89174789758125117</v>
      </c>
      <c r="E10" s="105">
        <v>0.45699999999999985</v>
      </c>
      <c r="F10" s="105">
        <f t="shared" si="16"/>
        <v>4.3857652190196816</v>
      </c>
      <c r="G10" s="105">
        <v>1.0118008422490501</v>
      </c>
      <c r="H10" s="105">
        <v>1.0051423304963101</v>
      </c>
      <c r="I10" s="105">
        <v>1.4625075502440397</v>
      </c>
      <c r="J10" s="105">
        <v>1.8611725344648602</v>
      </c>
      <c r="K10" s="105">
        <f t="shared" si="17"/>
        <v>5.3406232574542596</v>
      </c>
      <c r="L10" s="105">
        <v>0.43323700000000004</v>
      </c>
      <c r="M10" s="105">
        <v>0.58081499999999986</v>
      </c>
      <c r="N10" s="105">
        <v>0.57573300000000005</v>
      </c>
      <c r="O10" s="105">
        <v>0.33255499999999993</v>
      </c>
      <c r="P10" s="105">
        <f t="shared" si="18"/>
        <v>1.9223399999999999</v>
      </c>
      <c r="Q10" s="105">
        <v>1.0860540000000001</v>
      </c>
      <c r="R10" s="105">
        <v>0.57767799999999991</v>
      </c>
      <c r="S10" s="105">
        <v>0.98603499999999988</v>
      </c>
      <c r="T10" s="105">
        <v>1.0127790000000001</v>
      </c>
      <c r="U10" s="105">
        <f t="shared" si="19"/>
        <v>3.6625459999999999</v>
      </c>
      <c r="V10" s="105">
        <v>0.57583299999999993</v>
      </c>
      <c r="W10" s="105">
        <v>0.61685299999999998</v>
      </c>
      <c r="X10" s="105">
        <v>0.73660400000000004</v>
      </c>
      <c r="Y10" s="105">
        <v>2.1138439999999998</v>
      </c>
      <c r="Z10" s="105">
        <v>4.0431340000000002</v>
      </c>
      <c r="AA10" s="105">
        <v>0.61978099999999992</v>
      </c>
      <c r="AB10" s="105">
        <v>0.88791700000000018</v>
      </c>
      <c r="AC10" s="105">
        <v>1.7212209999999997</v>
      </c>
      <c r="AD10" s="105">
        <v>-0.56271599999999999</v>
      </c>
      <c r="AE10" s="105">
        <f>AD10+AC10+AB10+AA10</f>
        <v>2.6662029999999994</v>
      </c>
      <c r="AF10" s="105">
        <v>1.626943</v>
      </c>
      <c r="AG10" s="105">
        <v>0.93080099999999988</v>
      </c>
      <c r="AH10" s="105">
        <v>2.0848739999999997</v>
      </c>
      <c r="AI10" s="14"/>
      <c r="AJ10" s="108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</row>
    <row r="11" spans="1:79" customFormat="1" x14ac:dyDescent="0.25">
      <c r="A11" s="6" t="s">
        <v>139</v>
      </c>
      <c r="B11" s="95">
        <f>+SUM(B8:B10)</f>
        <v>42.569134288988984</v>
      </c>
      <c r="C11" s="95">
        <f t="shared" ref="C11:L11" si="20">+SUM(C8:C10)</f>
        <v>74.010406710420867</v>
      </c>
      <c r="D11" s="95">
        <f t="shared" si="20"/>
        <v>40.317750091500507</v>
      </c>
      <c r="E11" s="95">
        <f t="shared" si="20"/>
        <v>58.715999999999994</v>
      </c>
      <c r="F11" s="95">
        <f>+SUM(F8:F10)</f>
        <v>215.61329109091037</v>
      </c>
      <c r="G11" s="95">
        <f t="shared" si="20"/>
        <v>52.582004432687597</v>
      </c>
      <c r="H11" s="95">
        <f t="shared" si="20"/>
        <v>80.950960517596258</v>
      </c>
      <c r="I11" s="95">
        <f t="shared" si="20"/>
        <v>60.048570407538179</v>
      </c>
      <c r="J11" s="95">
        <f t="shared" si="20"/>
        <v>76.776692730192707</v>
      </c>
      <c r="K11" s="95">
        <f t="shared" si="20"/>
        <v>270.3582280880147</v>
      </c>
      <c r="L11" s="95">
        <f t="shared" si="20"/>
        <v>60.947831999999998</v>
      </c>
      <c r="M11" s="95">
        <f t="shared" ref="M11:Q11" si="21">+SUM(M8:M10)</f>
        <v>100.06005200000001</v>
      </c>
      <c r="N11" s="95">
        <f t="shared" si="21"/>
        <v>79.647283999999985</v>
      </c>
      <c r="O11" s="95">
        <f t="shared" si="21"/>
        <v>113.62829300000003</v>
      </c>
      <c r="P11" s="95">
        <f t="shared" si="21"/>
        <v>354.28346100000005</v>
      </c>
      <c r="Q11" s="95">
        <f t="shared" si="21"/>
        <v>89.162696999999994</v>
      </c>
      <c r="R11" s="95">
        <f t="shared" ref="R11:U11" si="22">+SUM(R8:R10)</f>
        <v>142.458752</v>
      </c>
      <c r="S11" s="95">
        <f t="shared" si="22"/>
        <v>113.94033600000002</v>
      </c>
      <c r="T11" s="95">
        <f t="shared" si="22"/>
        <v>150.92636899999997</v>
      </c>
      <c r="U11" s="95">
        <f t="shared" si="22"/>
        <v>496.48815400000001</v>
      </c>
      <c r="V11" s="95">
        <f t="shared" ref="V11" si="23">+SUM(V8:V10)</f>
        <v>119.970687</v>
      </c>
      <c r="W11" s="95">
        <f t="shared" ref="W11" si="24">+SUM(W8:W10)</f>
        <v>178.45855900000004</v>
      </c>
      <c r="X11" s="95">
        <f t="shared" ref="X11" si="25">+SUM(X8:X10)</f>
        <v>142.16395700000004</v>
      </c>
      <c r="Y11" s="95">
        <f t="shared" ref="Y11" si="26">+SUM(Y8:Y10)</f>
        <v>196.38458399999999</v>
      </c>
      <c r="Z11" s="95">
        <f t="shared" ref="Z11" si="27">+SUM(Z8:Z10)</f>
        <v>636.97778700000003</v>
      </c>
      <c r="AA11" s="95">
        <f t="shared" ref="AA11" si="28">+SUM(AA8:AA10)</f>
        <v>151.96163999999999</v>
      </c>
      <c r="AB11" s="95">
        <f t="shared" ref="AB11" si="29">+SUM(AB8:AB10)</f>
        <v>227.06528599999999</v>
      </c>
      <c r="AC11" s="95">
        <f t="shared" ref="AC11" si="30">+SUM(AC8:AC10)</f>
        <v>202.78095800000003</v>
      </c>
      <c r="AD11" s="95">
        <f t="shared" ref="AD11:AE11" si="31">+SUM(AD8:AD10)</f>
        <v>265.88428399999998</v>
      </c>
      <c r="AE11" s="95">
        <f t="shared" si="31"/>
        <v>847.69216800000004</v>
      </c>
      <c r="AF11" s="95">
        <f>+SUM(AF8:AF10)</f>
        <v>231.77637300000004</v>
      </c>
      <c r="AG11" s="95">
        <f>+SUM(AG8:AG10)</f>
        <v>340.66584599999993</v>
      </c>
      <c r="AH11" s="95">
        <f>+SUM(AH8:AH10)</f>
        <v>279.083372</v>
      </c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</row>
    <row r="12" spans="1:79" customFormat="1" x14ac:dyDescent="0.25">
      <c r="A12" s="26" t="s">
        <v>116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</row>
    <row r="13" spans="1:79" customFormat="1" x14ac:dyDescent="0.25">
      <c r="A13" s="5" t="s">
        <v>129</v>
      </c>
      <c r="B13" s="105">
        <v>4.3469332609930804</v>
      </c>
      <c r="C13" s="105">
        <v>3.7297428480704293</v>
      </c>
      <c r="D13" s="105">
        <v>4.3570369509187898</v>
      </c>
      <c r="E13" s="105">
        <v>5.6009999999999991</v>
      </c>
      <c r="F13" s="105">
        <f t="shared" ref="F13:F15" si="32">+SUM(B13:E13)</f>
        <v>18.034713059982298</v>
      </c>
      <c r="G13" s="105">
        <v>3.8727842551622604</v>
      </c>
      <c r="H13" s="105">
        <v>5.2688675602371795</v>
      </c>
      <c r="I13" s="105">
        <v>5.4439979213908876</v>
      </c>
      <c r="J13" s="105">
        <v>6.6933483415564732</v>
      </c>
      <c r="K13" s="105">
        <f t="shared" ref="K13:K15" si="33">+SUM(G13:J13)</f>
        <v>21.278998078346799</v>
      </c>
      <c r="L13" s="105">
        <v>6.6091880000000005</v>
      </c>
      <c r="M13" s="105">
        <v>10.742445999999997</v>
      </c>
      <c r="N13" s="105">
        <v>7.1807480000000012</v>
      </c>
      <c r="O13" s="105">
        <v>15.846262000000003</v>
      </c>
      <c r="P13" s="105">
        <f t="shared" ref="P13:P15" si="34">+SUM(L13:O13)</f>
        <v>40.378644000000001</v>
      </c>
      <c r="Q13" s="105">
        <v>14.103479</v>
      </c>
      <c r="R13" s="105">
        <v>24.627758</v>
      </c>
      <c r="S13" s="105">
        <v>20.314457000000001</v>
      </c>
      <c r="T13" s="105">
        <v>28.487589</v>
      </c>
      <c r="U13" s="105">
        <f t="shared" ref="U13:U15" si="35">+SUM(Q13:T13)</f>
        <v>87.533282999999997</v>
      </c>
      <c r="V13" s="105">
        <v>17.180235</v>
      </c>
      <c r="W13" s="105">
        <v>33.108834000000002</v>
      </c>
      <c r="X13" s="105">
        <v>25.921216000000001</v>
      </c>
      <c r="Y13" s="105">
        <v>52.107205</v>
      </c>
      <c r="Z13" s="105">
        <v>128.31748999999999</v>
      </c>
      <c r="AA13" s="105">
        <v>67.977823999999998</v>
      </c>
      <c r="AB13" s="105">
        <v>74.039801000000011</v>
      </c>
      <c r="AC13" s="105">
        <v>81.794499000000016</v>
      </c>
      <c r="AD13" s="105">
        <v>84.26</v>
      </c>
      <c r="AE13" s="105">
        <f>AD13+AC13+AB13+AA13</f>
        <v>308.07212400000003</v>
      </c>
      <c r="AF13" s="105">
        <v>80.460035000000005</v>
      </c>
      <c r="AG13" s="105">
        <v>99.663243000000008</v>
      </c>
      <c r="AH13" s="105">
        <v>101.52509299999998</v>
      </c>
      <c r="AI13" s="14"/>
      <c r="AJ13" s="108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</row>
    <row r="14" spans="1:79" customFormat="1" x14ac:dyDescent="0.25">
      <c r="A14" s="5" t="s">
        <v>130</v>
      </c>
      <c r="B14" s="105">
        <v>13.917620984064708</v>
      </c>
      <c r="C14" s="105">
        <v>24.555460465177902</v>
      </c>
      <c r="D14" s="105">
        <v>12.137631106844701</v>
      </c>
      <c r="E14" s="105">
        <v>22.036999999999992</v>
      </c>
      <c r="F14" s="105">
        <f t="shared" si="32"/>
        <v>72.647712556087299</v>
      </c>
      <c r="G14" s="105">
        <v>20.51732388455968</v>
      </c>
      <c r="H14" s="105">
        <v>28.936535392377543</v>
      </c>
      <c r="I14" s="105">
        <v>19.742837881847414</v>
      </c>
      <c r="J14" s="105">
        <v>39.969101041323235</v>
      </c>
      <c r="K14" s="105">
        <f t="shared" si="33"/>
        <v>109.16579820010787</v>
      </c>
      <c r="L14" s="105">
        <v>34.243347</v>
      </c>
      <c r="M14" s="105">
        <v>42.820640999999995</v>
      </c>
      <c r="N14" s="105">
        <v>42.900420000000011</v>
      </c>
      <c r="O14" s="105">
        <v>32.596954999999994</v>
      </c>
      <c r="P14" s="105">
        <f t="shared" si="34"/>
        <v>152.561363</v>
      </c>
      <c r="Q14" s="105">
        <v>46.047792999999999</v>
      </c>
      <c r="R14" s="105">
        <v>69.873797999999994</v>
      </c>
      <c r="S14" s="105">
        <v>42.288598000000022</v>
      </c>
      <c r="T14" s="105">
        <v>51.295485000000014</v>
      </c>
      <c r="U14" s="105">
        <f t="shared" si="35"/>
        <v>209.50567400000003</v>
      </c>
      <c r="V14" s="105">
        <v>62.353418000000005</v>
      </c>
      <c r="W14" s="105">
        <v>87.508679999999998</v>
      </c>
      <c r="X14" s="105">
        <v>51.82615100000001</v>
      </c>
      <c r="Y14" s="105">
        <v>157.12618799999998</v>
      </c>
      <c r="Z14" s="105">
        <v>358.814437</v>
      </c>
      <c r="AA14" s="105">
        <v>168.189708</v>
      </c>
      <c r="AB14" s="105">
        <v>228.53928500000004</v>
      </c>
      <c r="AC14" s="105">
        <v>214.81412800000004</v>
      </c>
      <c r="AD14" s="105">
        <v>232.911</v>
      </c>
      <c r="AE14" s="105">
        <f>AD14+AC14+AB14+AA14</f>
        <v>844.4541210000001</v>
      </c>
      <c r="AF14" s="105">
        <v>211.26672599999998</v>
      </c>
      <c r="AG14" s="105">
        <v>219.883534</v>
      </c>
      <c r="AH14" s="105">
        <v>249.76410200000001</v>
      </c>
      <c r="AI14" s="14"/>
      <c r="AJ14" s="108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</row>
    <row r="15" spans="1:79" customFormat="1" x14ac:dyDescent="0.25">
      <c r="A15" s="5" t="s">
        <v>128</v>
      </c>
      <c r="B15" s="105">
        <v>3.2254831128880043E-2</v>
      </c>
      <c r="C15" s="105">
        <v>0</v>
      </c>
      <c r="D15" s="105">
        <v>0</v>
      </c>
      <c r="E15" s="105">
        <v>0</v>
      </c>
      <c r="F15" s="105">
        <f t="shared" si="32"/>
        <v>3.2254831128880043E-2</v>
      </c>
      <c r="G15" s="105">
        <v>0.17222555143647003</v>
      </c>
      <c r="H15" s="105">
        <v>0.21200232835132993</v>
      </c>
      <c r="I15" s="105">
        <v>-3.2962222143480005E-2</v>
      </c>
      <c r="J15" s="105">
        <v>1.6828763184382802</v>
      </c>
      <c r="K15" s="105">
        <f t="shared" si="33"/>
        <v>2.0341419760826001</v>
      </c>
      <c r="L15" s="105">
        <v>1.3519060000000001</v>
      </c>
      <c r="M15" s="105">
        <v>0.24281299999999995</v>
      </c>
      <c r="N15" s="105">
        <v>1.1791770000000001</v>
      </c>
      <c r="O15" s="105">
        <v>1.9456739999999999</v>
      </c>
      <c r="P15" s="105">
        <f t="shared" si="34"/>
        <v>4.71957</v>
      </c>
      <c r="Q15" s="105">
        <v>1.2283710000000001</v>
      </c>
      <c r="R15" s="105">
        <v>1.8003699999999998</v>
      </c>
      <c r="S15" s="105">
        <v>1.9899399999999996</v>
      </c>
      <c r="T15" s="105">
        <v>1.6423070000000006</v>
      </c>
      <c r="U15" s="105">
        <f t="shared" si="35"/>
        <v>6.6609880000000006</v>
      </c>
      <c r="V15" s="105">
        <v>0.9026559999999999</v>
      </c>
      <c r="W15" s="105">
        <v>1.0875460000000001</v>
      </c>
      <c r="X15" s="105">
        <v>1.6704689999999998</v>
      </c>
      <c r="Y15" s="105">
        <v>0.8338920000000003</v>
      </c>
      <c r="Z15" s="105">
        <v>4.4945630000000003</v>
      </c>
      <c r="AA15" s="105">
        <v>1.3962380000000001</v>
      </c>
      <c r="AB15" s="105">
        <v>3.4646599999999999</v>
      </c>
      <c r="AC15" s="105">
        <v>5.459282</v>
      </c>
      <c r="AD15" s="105">
        <v>16.650703</v>
      </c>
      <c r="AE15" s="105">
        <f>AD15+AC15+AB15+AA15</f>
        <v>26.970883000000001</v>
      </c>
      <c r="AF15" s="105">
        <v>-4.3090650000000004</v>
      </c>
      <c r="AG15" s="105">
        <v>2.7001620000000006</v>
      </c>
      <c r="AH15" s="105">
        <v>1.9659180000000001</v>
      </c>
      <c r="AI15" s="14"/>
      <c r="AJ15" s="108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79" customFormat="1" x14ac:dyDescent="0.25">
      <c r="A16" s="6" t="s">
        <v>140</v>
      </c>
      <c r="B16" s="95">
        <f>+SUM(B13:B15)</f>
        <v>18.296809076186669</v>
      </c>
      <c r="C16" s="95">
        <f t="shared" ref="C16:L16" si="36">+SUM(C13:C15)</f>
        <v>28.285203313248331</v>
      </c>
      <c r="D16" s="95">
        <f t="shared" si="36"/>
        <v>16.494668057763491</v>
      </c>
      <c r="E16" s="95">
        <f t="shared" si="36"/>
        <v>27.637999999999991</v>
      </c>
      <c r="F16" s="95">
        <f t="shared" si="36"/>
        <v>90.714680447198475</v>
      </c>
      <c r="G16" s="95">
        <f t="shared" si="36"/>
        <v>24.562333691158408</v>
      </c>
      <c r="H16" s="95">
        <f t="shared" si="36"/>
        <v>34.417405280966051</v>
      </c>
      <c r="I16" s="95">
        <f t="shared" si="36"/>
        <v>25.153873581094821</v>
      </c>
      <c r="J16" s="95">
        <f t="shared" si="36"/>
        <v>48.345325701317989</v>
      </c>
      <c r="K16" s="95">
        <f t="shared" si="36"/>
        <v>132.47893825453727</v>
      </c>
      <c r="L16" s="95">
        <f t="shared" si="36"/>
        <v>42.204441000000003</v>
      </c>
      <c r="M16" s="95">
        <f t="shared" ref="M16:Q16" si="37">+SUM(M13:M15)</f>
        <v>53.805899999999994</v>
      </c>
      <c r="N16" s="95">
        <f t="shared" si="37"/>
        <v>51.260345000000015</v>
      </c>
      <c r="O16" s="95">
        <f t="shared" si="37"/>
        <v>50.388890999999994</v>
      </c>
      <c r="P16" s="95">
        <f t="shared" si="37"/>
        <v>197.65957700000001</v>
      </c>
      <c r="Q16" s="95">
        <f t="shared" si="37"/>
        <v>61.379643000000002</v>
      </c>
      <c r="R16" s="95">
        <f t="shared" ref="R16:U16" si="38">+SUM(R13:R15)</f>
        <v>96.301925999999995</v>
      </c>
      <c r="S16" s="95">
        <f t="shared" si="38"/>
        <v>64.59299500000003</v>
      </c>
      <c r="T16" s="95">
        <f t="shared" si="38"/>
        <v>81.425381000000016</v>
      </c>
      <c r="U16" s="95">
        <f t="shared" si="38"/>
        <v>303.69994500000001</v>
      </c>
      <c r="V16" s="95">
        <f t="shared" ref="V16" si="39">+SUM(V13:V15)</f>
        <v>80.436308999999994</v>
      </c>
      <c r="W16" s="95">
        <f t="shared" ref="W16" si="40">+SUM(W13:W15)</f>
        <v>121.70506</v>
      </c>
      <c r="X16" s="95">
        <f t="shared" ref="X16" si="41">+SUM(X13:X15)</f>
        <v>79.417836000000008</v>
      </c>
      <c r="Y16" s="95">
        <f t="shared" ref="Y16" si="42">+SUM(Y13:Y15)</f>
        <v>210.06728499999997</v>
      </c>
      <c r="Z16" s="95">
        <f t="shared" ref="Z16" si="43">+SUM(Z13:Z15)</f>
        <v>491.62649000000005</v>
      </c>
      <c r="AA16" s="95">
        <f t="shared" ref="AA16" si="44">+SUM(AA13:AA15)</f>
        <v>237.56377000000001</v>
      </c>
      <c r="AB16" s="95">
        <f t="shared" ref="AB16" si="45">+SUM(AB13:AB15)</f>
        <v>306.04374600000006</v>
      </c>
      <c r="AC16" s="95">
        <f t="shared" ref="AC16" si="46">+SUM(AC13:AC15)</f>
        <v>302.06790900000004</v>
      </c>
      <c r="AD16" s="95">
        <f t="shared" ref="AD16:AF16" si="47">+SUM(AD13:AD15)</f>
        <v>333.82170300000001</v>
      </c>
      <c r="AE16" s="95">
        <f t="shared" si="47"/>
        <v>1179.497128</v>
      </c>
      <c r="AF16" s="95">
        <f t="shared" si="47"/>
        <v>287.41769600000003</v>
      </c>
      <c r="AG16" s="95">
        <f t="shared" ref="AG16:AH16" si="48">+SUM(AG13:AG15)</f>
        <v>322.246939</v>
      </c>
      <c r="AH16" s="95">
        <f t="shared" si="48"/>
        <v>353.25511299999999</v>
      </c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</row>
    <row r="17" spans="1:79" customFormat="1" x14ac:dyDescent="0.25">
      <c r="A17" s="26" t="s">
        <v>117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</row>
    <row r="18" spans="1:79" customFormat="1" x14ac:dyDescent="0.25">
      <c r="A18" s="5" t="s">
        <v>129</v>
      </c>
      <c r="B18" s="105">
        <v>27.261693814673894</v>
      </c>
      <c r="C18" s="105">
        <v>31.19981623818283</v>
      </c>
      <c r="D18" s="105">
        <v>25.281489947143271</v>
      </c>
      <c r="E18" s="105">
        <v>25.13600000000001</v>
      </c>
      <c r="F18" s="105">
        <f t="shared" ref="F18:F20" si="49">+SUM(B18:E18)</f>
        <v>108.879</v>
      </c>
      <c r="G18" s="105">
        <v>27.572314148030824</v>
      </c>
      <c r="H18" s="105">
        <v>27.95384808396339</v>
      </c>
      <c r="I18" s="105">
        <v>30.441340875015989</v>
      </c>
      <c r="J18" s="105">
        <v>31.2892096467687</v>
      </c>
      <c r="K18" s="105">
        <f t="shared" ref="K18:K20" si="50">+SUM(G18:J18)</f>
        <v>117.2567127537789</v>
      </c>
      <c r="L18" s="105">
        <v>31.474324999999997</v>
      </c>
      <c r="M18" s="105">
        <v>34.663037000000003</v>
      </c>
      <c r="N18" s="105">
        <v>40.082005000000024</v>
      </c>
      <c r="O18" s="105">
        <v>46.245732999999987</v>
      </c>
      <c r="P18" s="105">
        <f t="shared" ref="P18:P20" si="51">+SUM(L18:O18)</f>
        <v>152.46510000000001</v>
      </c>
      <c r="Q18" s="105">
        <v>48.447037999999999</v>
      </c>
      <c r="R18" s="105">
        <v>53.346966000000002</v>
      </c>
      <c r="S18" s="105">
        <v>57.124686000000004</v>
      </c>
      <c r="T18" s="105">
        <v>61.130970999999974</v>
      </c>
      <c r="U18" s="105">
        <f t="shared" ref="U18:U20" si="52">+SUM(Q18:T18)</f>
        <v>220.04966099999996</v>
      </c>
      <c r="V18" s="105">
        <v>67.046888999999993</v>
      </c>
      <c r="W18" s="105">
        <v>67.649161000000021</v>
      </c>
      <c r="X18" s="105">
        <v>69.411260999999996</v>
      </c>
      <c r="Y18" s="105">
        <v>81.227988999999994</v>
      </c>
      <c r="Z18" s="105">
        <v>285.33530000000002</v>
      </c>
      <c r="AA18" s="105">
        <v>75.661703000000003</v>
      </c>
      <c r="AB18" s="105">
        <v>74.048636999999999</v>
      </c>
      <c r="AC18" s="105">
        <v>77.698429999999988</v>
      </c>
      <c r="AD18" s="105">
        <v>99.590999999999994</v>
      </c>
      <c r="AE18" s="105">
        <f>AD18+AC18+AB18+AA18</f>
        <v>326.99976999999996</v>
      </c>
      <c r="AF18" s="105">
        <v>92.648797999999999</v>
      </c>
      <c r="AG18" s="105">
        <v>100.057496</v>
      </c>
      <c r="AH18" s="105">
        <v>94.592378999999994</v>
      </c>
      <c r="AI18" s="14"/>
      <c r="AJ18" s="108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</row>
    <row r="19" spans="1:79" customFormat="1" x14ac:dyDescent="0.25">
      <c r="A19" s="5" t="s">
        <v>130</v>
      </c>
      <c r="B19" s="105">
        <v>4.6509877062169895</v>
      </c>
      <c r="C19" s="105">
        <v>9.3035663613054194</v>
      </c>
      <c r="D19" s="105">
        <v>4.5506276324775907</v>
      </c>
      <c r="E19" s="105">
        <v>4.8180000000000014</v>
      </c>
      <c r="F19" s="105">
        <f t="shared" si="49"/>
        <v>23.323181700000003</v>
      </c>
      <c r="G19" s="105">
        <v>6.0669257596178756</v>
      </c>
      <c r="H19" s="105">
        <v>11.692649283623632</v>
      </c>
      <c r="I19" s="105">
        <v>8.6726446964791535</v>
      </c>
      <c r="J19" s="105">
        <v>9.8400492482155091</v>
      </c>
      <c r="K19" s="105">
        <f t="shared" si="50"/>
        <v>36.272268987936172</v>
      </c>
      <c r="L19" s="105">
        <v>9.9822489999999995</v>
      </c>
      <c r="M19" s="105">
        <v>23.263867000000001</v>
      </c>
      <c r="N19" s="105">
        <v>16.606269000000005</v>
      </c>
      <c r="O19" s="105">
        <v>18.580747999999993</v>
      </c>
      <c r="P19" s="105">
        <f t="shared" si="51"/>
        <v>68.433132999999998</v>
      </c>
      <c r="Q19" s="105">
        <v>20.048832999999998</v>
      </c>
      <c r="R19" s="105">
        <v>26.587583000000009</v>
      </c>
      <c r="S19" s="105">
        <v>23.727367999999995</v>
      </c>
      <c r="T19" s="105">
        <v>27.084657000000004</v>
      </c>
      <c r="U19" s="105">
        <f t="shared" si="52"/>
        <v>97.448441000000017</v>
      </c>
      <c r="V19" s="105">
        <v>23.053318000000001</v>
      </c>
      <c r="W19" s="105">
        <v>36.70732000000001</v>
      </c>
      <c r="X19" s="105">
        <v>39.336987999999998</v>
      </c>
      <c r="Y19" s="105">
        <v>31.808288000000001</v>
      </c>
      <c r="Z19" s="105">
        <v>130.90591400000002</v>
      </c>
      <c r="AA19" s="105">
        <v>39.608578999999999</v>
      </c>
      <c r="AB19" s="105">
        <v>55.992722000000008</v>
      </c>
      <c r="AC19" s="105">
        <v>48.872872000000001</v>
      </c>
      <c r="AD19" s="105">
        <v>48.585000000000001</v>
      </c>
      <c r="AE19" s="105">
        <f>AD19+AC19+AB19+AA19</f>
        <v>193.05917300000002</v>
      </c>
      <c r="AF19" s="105">
        <v>51.459249</v>
      </c>
      <c r="AG19" s="105">
        <v>70.362305000000006</v>
      </c>
      <c r="AH19" s="105">
        <v>55.623834000000002</v>
      </c>
      <c r="AI19" s="14"/>
      <c r="AJ19" s="108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customFormat="1" x14ac:dyDescent="0.25">
      <c r="A20" s="5" t="s">
        <v>128</v>
      </c>
      <c r="B20" s="105">
        <v>0.16293590934847166</v>
      </c>
      <c r="C20" s="105"/>
      <c r="D20" s="105">
        <v>9.3738607815859021E-2</v>
      </c>
      <c r="E20" s="105">
        <v>0.51600000000000001</v>
      </c>
      <c r="F20" s="105">
        <f t="shared" si="49"/>
        <v>0.77267451716433067</v>
      </c>
      <c r="G20" s="105">
        <v>0.11129945356833001</v>
      </c>
      <c r="H20" s="105">
        <v>-7.4853421585740015E-2</v>
      </c>
      <c r="I20" s="105">
        <v>0.7519575554876099</v>
      </c>
      <c r="J20" s="105">
        <v>0.6860037788831701</v>
      </c>
      <c r="K20" s="105">
        <f t="shared" si="50"/>
        <v>1.4744073663533701</v>
      </c>
      <c r="L20" s="105">
        <v>0.221273</v>
      </c>
      <c r="M20" s="105">
        <v>0.53488800000000003</v>
      </c>
      <c r="N20" s="105">
        <v>0.3018550000000001</v>
      </c>
      <c r="O20" s="105">
        <v>0.329426</v>
      </c>
      <c r="P20" s="105">
        <f t="shared" si="51"/>
        <v>1.3874420000000003</v>
      </c>
      <c r="Q20" s="105">
        <v>-1.2395419999999999</v>
      </c>
      <c r="R20" s="105">
        <v>1.859049</v>
      </c>
      <c r="S20" s="105">
        <v>5.0714000000000058E-2</v>
      </c>
      <c r="T20" s="105">
        <v>0.31514300000000001</v>
      </c>
      <c r="U20" s="105">
        <f t="shared" si="52"/>
        <v>0.98536400000000013</v>
      </c>
      <c r="V20" s="105">
        <v>0.204454</v>
      </c>
      <c r="W20" s="105">
        <v>0.19258499999999998</v>
      </c>
      <c r="X20" s="105">
        <v>0.24449000000000001</v>
      </c>
      <c r="Y20" s="105">
        <v>0.33012599999999998</v>
      </c>
      <c r="Z20" s="105">
        <v>0.97165499999999994</v>
      </c>
      <c r="AA20" s="105">
        <v>-1.0598000000000002E-2</v>
      </c>
      <c r="AB20" s="105">
        <v>0.15407300000000002</v>
      </c>
      <c r="AC20" s="105">
        <v>0.101476</v>
      </c>
      <c r="AD20" s="105">
        <v>0.41306500000000002</v>
      </c>
      <c r="AE20" s="105">
        <f>AD20+AC20+AB20+AA20</f>
        <v>0.65801600000000005</v>
      </c>
      <c r="AF20" s="105">
        <v>2.6069999999999999E-2</v>
      </c>
      <c r="AG20" s="105">
        <v>0.14711399999999999</v>
      </c>
      <c r="AH20" s="105">
        <v>0.115383</v>
      </c>
      <c r="AI20" s="14"/>
      <c r="AJ20" s="108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</row>
    <row r="21" spans="1:79" customFormat="1" x14ac:dyDescent="0.25">
      <c r="A21" s="6" t="s">
        <v>141</v>
      </c>
      <c r="B21" s="95">
        <f>+SUM(B18:B20)</f>
        <v>32.075617430239355</v>
      </c>
      <c r="C21" s="95">
        <f t="shared" ref="C21:L21" si="53">+SUM(C18:C20)</f>
        <v>40.503382599488248</v>
      </c>
      <c r="D21" s="95">
        <f t="shared" si="53"/>
        <v>29.925856187436722</v>
      </c>
      <c r="E21" s="95">
        <f t="shared" si="53"/>
        <v>30.470000000000013</v>
      </c>
      <c r="F21" s="95">
        <f t="shared" si="53"/>
        <v>132.97485621716433</v>
      </c>
      <c r="G21" s="95">
        <f t="shared" si="53"/>
        <v>33.750539361217029</v>
      </c>
      <c r="H21" s="95">
        <f t="shared" si="53"/>
        <v>39.571643946001281</v>
      </c>
      <c r="I21" s="95">
        <f t="shared" si="53"/>
        <v>39.865943126982749</v>
      </c>
      <c r="J21" s="95">
        <f t="shared" si="53"/>
        <v>41.81526267386738</v>
      </c>
      <c r="K21" s="95">
        <f t="shared" si="53"/>
        <v>155.00338910806846</v>
      </c>
      <c r="L21" s="95">
        <f t="shared" si="53"/>
        <v>41.677846999999993</v>
      </c>
      <c r="M21" s="95">
        <f t="shared" ref="M21:Q21" si="54">+SUM(M18:M20)</f>
        <v>58.46179200000001</v>
      </c>
      <c r="N21" s="95">
        <f t="shared" si="54"/>
        <v>56.990129000000032</v>
      </c>
      <c r="O21" s="95">
        <f t="shared" si="54"/>
        <v>65.155906999999971</v>
      </c>
      <c r="P21" s="95">
        <f t="shared" si="54"/>
        <v>222.285675</v>
      </c>
      <c r="Q21" s="95">
        <f t="shared" si="54"/>
        <v>67.256328999999994</v>
      </c>
      <c r="R21" s="95">
        <f t="shared" ref="R21:U21" si="55">+SUM(R18:R20)</f>
        <v>81.793598000000003</v>
      </c>
      <c r="S21" s="95">
        <f t="shared" si="55"/>
        <v>80.902767999999995</v>
      </c>
      <c r="T21" s="95">
        <f t="shared" si="55"/>
        <v>88.530770999999987</v>
      </c>
      <c r="U21" s="95">
        <f t="shared" si="55"/>
        <v>318.48346599999996</v>
      </c>
      <c r="V21" s="95">
        <f t="shared" ref="V21" si="56">+SUM(V18:V20)</f>
        <v>90.304660999999996</v>
      </c>
      <c r="W21" s="95">
        <f t="shared" ref="W21" si="57">+SUM(W18:W20)</f>
        <v>104.54906600000002</v>
      </c>
      <c r="X21" s="95">
        <f t="shared" ref="X21" si="58">+SUM(X18:X20)</f>
        <v>108.99273899999999</v>
      </c>
      <c r="Y21" s="95">
        <f t="shared" ref="Y21" si="59">+SUM(Y18:Y20)</f>
        <v>113.36640300000001</v>
      </c>
      <c r="Z21" s="95">
        <f t="shared" ref="Z21" si="60">+SUM(Z18:Z20)</f>
        <v>417.21286900000001</v>
      </c>
      <c r="AA21" s="95">
        <f t="shared" ref="AA21" si="61">+SUM(AA18:AA20)</f>
        <v>115.25968400000001</v>
      </c>
      <c r="AB21" s="95">
        <f t="shared" ref="AB21" si="62">+SUM(AB18:AB20)</f>
        <v>130.19543200000001</v>
      </c>
      <c r="AC21" s="95">
        <f t="shared" ref="AC21" si="63">+SUM(AC18:AC20)</f>
        <v>126.67277799999999</v>
      </c>
      <c r="AD21" s="95">
        <f t="shared" ref="AD21:AF21" si="64">+SUM(AD18:AD20)</f>
        <v>148.58906499999998</v>
      </c>
      <c r="AE21" s="95">
        <f t="shared" si="64"/>
        <v>520.71695899999997</v>
      </c>
      <c r="AF21" s="95">
        <f t="shared" si="64"/>
        <v>144.134117</v>
      </c>
      <c r="AG21" s="95">
        <f t="shared" ref="AG21:AH21" si="65">+SUM(AG18:AG20)</f>
        <v>170.56691499999999</v>
      </c>
      <c r="AH21" s="95">
        <f t="shared" si="65"/>
        <v>150.33159599999999</v>
      </c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</row>
    <row r="22" spans="1:79" customFormat="1" x14ac:dyDescent="0.25">
      <c r="A22" s="26" t="s">
        <v>118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</row>
    <row r="23" spans="1:79" customFormat="1" x14ac:dyDescent="0.25">
      <c r="A23" s="5" t="s">
        <v>129</v>
      </c>
      <c r="B23" s="105">
        <v>0</v>
      </c>
      <c r="C23" s="105">
        <v>0</v>
      </c>
      <c r="D23" s="105">
        <v>0</v>
      </c>
      <c r="E23" s="105">
        <v>0</v>
      </c>
      <c r="F23" s="105">
        <f t="shared" ref="F23:F25" si="66">+SUM(B23:E23)</f>
        <v>0</v>
      </c>
      <c r="G23" s="105">
        <v>0</v>
      </c>
      <c r="H23" s="105">
        <v>-9.2249999999999988E-3</v>
      </c>
      <c r="I23" s="105">
        <v>-2.8042919999999995E-2</v>
      </c>
      <c r="J23" s="105">
        <v>1.7763568394002505E-18</v>
      </c>
      <c r="K23" s="105">
        <f t="shared" ref="K23:K25" si="67">+SUM(G23:J23)</f>
        <v>-3.7267919999999996E-2</v>
      </c>
      <c r="L23" s="105">
        <v>-9.0869999999999996E-3</v>
      </c>
      <c r="M23" s="105">
        <v>-3.0450000000000008E-3</v>
      </c>
      <c r="N23" s="105">
        <v>0</v>
      </c>
      <c r="O23" s="105">
        <v>0.11232399999999999</v>
      </c>
      <c r="P23" s="105">
        <f t="shared" ref="P23:P25" si="68">+SUM(L23:O23)</f>
        <v>0.10019199999999999</v>
      </c>
      <c r="Q23" s="105">
        <v>0.35528599999999999</v>
      </c>
      <c r="R23" s="105">
        <v>-1.8651746813702631E-17</v>
      </c>
      <c r="S23" s="105">
        <v>-0.28850999999999999</v>
      </c>
      <c r="T23" s="105">
        <v>-0.24681600000000004</v>
      </c>
      <c r="U23" s="105">
        <f t="shared" ref="U23:U25" si="69">+SUM(Q23:T23)</f>
        <v>-0.18004000000000003</v>
      </c>
      <c r="V23" s="105">
        <v>-2.9682E-2</v>
      </c>
      <c r="W23" s="105">
        <v>-6.2785999999999995E-2</v>
      </c>
      <c r="X23" s="105">
        <v>1.3724000000000004E-2</v>
      </c>
      <c r="Y23" s="105">
        <v>6.0594999999999996E-2</v>
      </c>
      <c r="Z23" s="105">
        <v>-1.8148999999999998E-2</v>
      </c>
      <c r="AA23" s="105">
        <v>-3.0152000000000002E-2</v>
      </c>
      <c r="AB23" s="105">
        <v>0.22124200000000002</v>
      </c>
      <c r="AC23" s="105">
        <v>-0.216083</v>
      </c>
      <c r="AD23" s="105">
        <v>0.48199999999999998</v>
      </c>
      <c r="AE23" s="105">
        <f>AD23+AC23+AB23+AA23</f>
        <v>0.457007</v>
      </c>
      <c r="AF23" s="105">
        <v>0.52482499999999999</v>
      </c>
      <c r="AG23" s="105">
        <v>3.8206069999999999</v>
      </c>
      <c r="AH23" s="105">
        <v>-1.6444669999999999</v>
      </c>
      <c r="AI23" s="14"/>
      <c r="AJ23" s="108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</row>
    <row r="24" spans="1:79" customFormat="1" x14ac:dyDescent="0.25">
      <c r="A24" s="5" t="s">
        <v>130</v>
      </c>
      <c r="B24" s="105">
        <v>0.87475436999999878</v>
      </c>
      <c r="C24" s="105">
        <v>-0.81483449999999868</v>
      </c>
      <c r="D24" s="105">
        <v>8.0129999999900559E-5</v>
      </c>
      <c r="E24" s="105">
        <v>-0.29499999999999998</v>
      </c>
      <c r="F24" s="105">
        <f t="shared" si="66"/>
        <v>-0.23499999999999999</v>
      </c>
      <c r="G24" s="105">
        <v>-0.37978183999999998</v>
      </c>
      <c r="H24" s="105">
        <v>-1.1571876499999989</v>
      </c>
      <c r="I24" s="105">
        <v>-0.32903551999999875</v>
      </c>
      <c r="J24" s="105">
        <v>-0.29000000000000142</v>
      </c>
      <c r="K24" s="105">
        <f t="shared" si="67"/>
        <v>-2.156005009999999</v>
      </c>
      <c r="L24" s="105">
        <v>0.103614</v>
      </c>
      <c r="M24" s="105">
        <v>-0.85509199999999996</v>
      </c>
      <c r="N24" s="105">
        <v>-1.3850549999999999</v>
      </c>
      <c r="O24" s="105">
        <v>-6.8845000000000045E-2</v>
      </c>
      <c r="P24" s="105">
        <f t="shared" si="68"/>
        <v>-2.2053780000000001</v>
      </c>
      <c r="Q24" s="105">
        <v>7.3914000000000007E-2</v>
      </c>
      <c r="R24" s="105">
        <v>6.1659000000000005E-2</v>
      </c>
      <c r="S24" s="105">
        <v>2.2593030000000005</v>
      </c>
      <c r="T24" s="105">
        <v>2.2932540000000001</v>
      </c>
      <c r="U24" s="105">
        <f t="shared" si="69"/>
        <v>4.688130000000001</v>
      </c>
      <c r="V24" s="105">
        <v>0</v>
      </c>
      <c r="W24" s="105">
        <v>0</v>
      </c>
      <c r="X24" s="105">
        <v>0.116177</v>
      </c>
      <c r="Y24" s="105">
        <v>-2.9999999999999997E-5</v>
      </c>
      <c r="Z24" s="105">
        <v>0.116147</v>
      </c>
      <c r="AA24" s="105">
        <v>0</v>
      </c>
      <c r="AB24" s="105">
        <v>-5.3211000000000001E-2</v>
      </c>
      <c r="AC24" s="105">
        <v>0</v>
      </c>
      <c r="AD24" s="105">
        <v>-8.0000000000000002E-3</v>
      </c>
      <c r="AE24" s="105">
        <f>AD24+AC24+AB24+AA24</f>
        <v>-6.1211000000000002E-2</v>
      </c>
      <c r="AF24" s="105">
        <v>4.6962080000000004</v>
      </c>
      <c r="AG24" s="105">
        <v>19.057766000000001</v>
      </c>
      <c r="AH24" s="105">
        <v>33.247391</v>
      </c>
      <c r="AI24" s="14"/>
      <c r="AJ24" s="108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</row>
    <row r="25" spans="1:79" customFormat="1" x14ac:dyDescent="0.25">
      <c r="A25" s="5" t="s">
        <v>128</v>
      </c>
      <c r="B25" s="105">
        <v>12.43400875</v>
      </c>
      <c r="C25" s="105">
        <v>14.38372779</v>
      </c>
      <c r="D25" s="105">
        <v>14.979263459999999</v>
      </c>
      <c r="E25" s="105">
        <v>21.945</v>
      </c>
      <c r="F25" s="105">
        <f t="shared" si="66"/>
        <v>63.741999999999997</v>
      </c>
      <c r="G25" s="105">
        <v>15.151114039999998</v>
      </c>
      <c r="H25" s="105">
        <v>17.09742846000001</v>
      </c>
      <c r="I25" s="105">
        <v>20.616849759999994</v>
      </c>
      <c r="J25" s="105">
        <v>22.197328060000007</v>
      </c>
      <c r="K25" s="105">
        <f t="shared" si="67"/>
        <v>75.062720320000011</v>
      </c>
      <c r="L25" s="105">
        <v>22.344651000000002</v>
      </c>
      <c r="M25" s="105">
        <v>11.046425999999993</v>
      </c>
      <c r="N25" s="105">
        <v>11.359466000000005</v>
      </c>
      <c r="O25" s="105">
        <v>12.250512999999998</v>
      </c>
      <c r="P25" s="105">
        <f t="shared" si="68"/>
        <v>57.001055999999998</v>
      </c>
      <c r="Q25" s="105">
        <v>14.233691</v>
      </c>
      <c r="R25" s="105">
        <v>15.047955</v>
      </c>
      <c r="S25" s="105">
        <v>15.975161</v>
      </c>
      <c r="T25" s="105">
        <v>13.148074000000001</v>
      </c>
      <c r="U25" s="105">
        <f t="shared" si="69"/>
        <v>58.404881000000003</v>
      </c>
      <c r="V25" s="105">
        <v>16.163413000000002</v>
      </c>
      <c r="W25" s="105">
        <v>15.452745999999999</v>
      </c>
      <c r="X25" s="105">
        <v>16.524605000000005</v>
      </c>
      <c r="Y25" s="105">
        <v>17.113922999999996</v>
      </c>
      <c r="Z25" s="105">
        <v>65.254687000000004</v>
      </c>
      <c r="AA25" s="105">
        <v>24.699589</v>
      </c>
      <c r="AB25" s="105">
        <v>25.710745000000003</v>
      </c>
      <c r="AC25" s="105">
        <v>25.888846999999995</v>
      </c>
      <c r="AD25" s="105">
        <v>25.643923999999998</v>
      </c>
      <c r="AE25" s="105">
        <f>AD25+AC25+AB25+AA25</f>
        <v>101.943105</v>
      </c>
      <c r="AF25" s="105">
        <v>76.494844000000001</v>
      </c>
      <c r="AG25" s="105">
        <v>180.37210099999999</v>
      </c>
      <c r="AH25" s="105">
        <v>72.041909000000004</v>
      </c>
      <c r="AI25" s="14"/>
      <c r="AJ25" s="108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</row>
    <row r="26" spans="1:79" customFormat="1" x14ac:dyDescent="0.25">
      <c r="A26" s="6" t="s">
        <v>142</v>
      </c>
      <c r="B26" s="95">
        <f>+SUM(B23:B25)</f>
        <v>13.308763119999998</v>
      </c>
      <c r="C26" s="95">
        <f t="shared" ref="C26:L26" si="70">+SUM(C23:C25)</f>
        <v>13.568893290000002</v>
      </c>
      <c r="D26" s="95">
        <f t="shared" si="70"/>
        <v>14.979343589999999</v>
      </c>
      <c r="E26" s="95">
        <f t="shared" si="70"/>
        <v>21.65</v>
      </c>
      <c r="F26" s="95">
        <f t="shared" si="70"/>
        <v>63.506999999999998</v>
      </c>
      <c r="G26" s="95">
        <f t="shared" si="70"/>
        <v>14.771332199999998</v>
      </c>
      <c r="H26" s="95">
        <f t="shared" si="70"/>
        <v>15.931015810000012</v>
      </c>
      <c r="I26" s="95">
        <f t="shared" si="70"/>
        <v>20.259771319999995</v>
      </c>
      <c r="J26" s="95">
        <f t="shared" si="70"/>
        <v>21.907328060000005</v>
      </c>
      <c r="K26" s="95">
        <f t="shared" si="70"/>
        <v>72.869447390000005</v>
      </c>
      <c r="L26" s="95">
        <f t="shared" si="70"/>
        <v>22.439178000000002</v>
      </c>
      <c r="M26" s="95">
        <f t="shared" ref="M26:Q26" si="71">+SUM(M23:M25)</f>
        <v>10.188288999999994</v>
      </c>
      <c r="N26" s="95">
        <f t="shared" si="71"/>
        <v>9.9744110000000052</v>
      </c>
      <c r="O26" s="95">
        <f t="shared" si="71"/>
        <v>12.293991999999998</v>
      </c>
      <c r="P26" s="95">
        <f t="shared" si="71"/>
        <v>54.895869999999995</v>
      </c>
      <c r="Q26" s="95">
        <f t="shared" si="71"/>
        <v>14.662891</v>
      </c>
      <c r="R26" s="95">
        <f t="shared" ref="R26:U26" si="72">+SUM(R23:R25)</f>
        <v>15.109614000000001</v>
      </c>
      <c r="S26" s="95">
        <f t="shared" si="72"/>
        <v>17.945954</v>
      </c>
      <c r="T26" s="95">
        <f t="shared" si="72"/>
        <v>15.194512000000001</v>
      </c>
      <c r="U26" s="95">
        <f t="shared" si="72"/>
        <v>62.912971000000006</v>
      </c>
      <c r="V26" s="95">
        <f t="shared" ref="V26" si="73">+SUM(V23:V25)</f>
        <v>16.133731000000001</v>
      </c>
      <c r="W26" s="95">
        <f t="shared" ref="W26" si="74">+SUM(W23:W25)</f>
        <v>15.38996</v>
      </c>
      <c r="X26" s="95">
        <f t="shared" ref="X26" si="75">+SUM(X23:X25)</f>
        <v>16.654506000000005</v>
      </c>
      <c r="Y26" s="95">
        <f t="shared" ref="Y26" si="76">+SUM(Y23:Y25)</f>
        <v>17.174487999999997</v>
      </c>
      <c r="Z26" s="95">
        <f t="shared" ref="Z26" si="77">+SUM(Z23:Z25)</f>
        <v>65.352685000000008</v>
      </c>
      <c r="AA26" s="95">
        <f t="shared" ref="AA26" si="78">+SUM(AA23:AA25)</f>
        <v>24.669436999999999</v>
      </c>
      <c r="AB26" s="95">
        <f t="shared" ref="AB26" si="79">+SUM(AB23:AB25)</f>
        <v>25.878776000000002</v>
      </c>
      <c r="AC26" s="95">
        <f t="shared" ref="AC26" si="80">+SUM(AC23:AC25)</f>
        <v>25.672763999999994</v>
      </c>
      <c r="AD26" s="95">
        <f t="shared" ref="AD26:AF26" si="81">+SUM(AD23:AD25)</f>
        <v>26.117923999999999</v>
      </c>
      <c r="AE26" s="95">
        <f t="shared" si="81"/>
        <v>102.33890100000001</v>
      </c>
      <c r="AF26" s="95">
        <f t="shared" si="81"/>
        <v>81.715877000000006</v>
      </c>
      <c r="AG26" s="95">
        <f t="shared" ref="AG26:AH26" si="82">+SUM(AG23:AG25)</f>
        <v>203.250474</v>
      </c>
      <c r="AH26" s="95">
        <f t="shared" si="82"/>
        <v>103.64483300000001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</row>
    <row r="27" spans="1:79" customFormat="1" x14ac:dyDescent="0.25">
      <c r="A27" s="26" t="s">
        <v>136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</row>
    <row r="28" spans="1:79" customFormat="1" x14ac:dyDescent="0.25">
      <c r="A28" s="5" t="s">
        <v>129</v>
      </c>
      <c r="B28" s="105">
        <f>+B3+B8+B13+B18+B23</f>
        <v>144.74545815286496</v>
      </c>
      <c r="C28" s="105">
        <f t="shared" ref="C28:E28" si="83">+C3+C8+C13+C18+C23</f>
        <v>151.11770076075805</v>
      </c>
      <c r="D28" s="105">
        <f t="shared" si="83"/>
        <v>127.98902165322848</v>
      </c>
      <c r="E28" s="105">
        <f t="shared" si="83"/>
        <v>164.46399999999994</v>
      </c>
      <c r="F28" s="105">
        <f t="shared" ref="F28:F30" si="84">+SUM(B28:E28)</f>
        <v>588.31618056685147</v>
      </c>
      <c r="G28" s="105">
        <f>+G3+G8+G13+G18+G23</f>
        <v>162.50417264253923</v>
      </c>
      <c r="H28" s="105">
        <f t="shared" ref="H28:I28" si="85">+H3+H8+H13+H18+H23</f>
        <v>172.33030445199631</v>
      </c>
      <c r="I28" s="105">
        <f t="shared" si="85"/>
        <v>158.17504599117174</v>
      </c>
      <c r="J28" s="105">
        <f>+J3+J8+J13+J18+J23</f>
        <v>203.37397611914218</v>
      </c>
      <c r="K28" s="105">
        <f>+SUM(G28:J28)</f>
        <v>696.3834992048495</v>
      </c>
      <c r="L28" s="105">
        <f>+L3+L8+L13+L18+L23</f>
        <v>203.57516799999999</v>
      </c>
      <c r="M28" s="105">
        <f>+M3+M8+M13+M18+M23</f>
        <v>210.49388799999997</v>
      </c>
      <c r="N28" s="105">
        <f>+N3+N8+N13+N18+N23</f>
        <v>193.09271800000005</v>
      </c>
      <c r="O28" s="105">
        <f>+O3+O8+O13+O18+O23</f>
        <v>262.37462500000004</v>
      </c>
      <c r="P28" s="105">
        <f>+SUM(L28:O28)</f>
        <v>869.53639899999996</v>
      </c>
      <c r="Q28" s="105">
        <f>+Q3+Q8+Q13+Q18+Q23</f>
        <v>259.86657099999996</v>
      </c>
      <c r="R28" s="105">
        <f>+R3+R8+R13+R18+R23</f>
        <v>287.93631199999999</v>
      </c>
      <c r="S28" s="105">
        <f>+S3+S8+S13+S18+S23</f>
        <v>247.51038300000002</v>
      </c>
      <c r="T28" s="105">
        <f>+T3+T8+T13+T18+T23</f>
        <v>310.38356599999997</v>
      </c>
      <c r="U28" s="105">
        <f t="shared" ref="U28:U31" si="86">+SUM(Q28:T28)</f>
        <v>1105.6968320000001</v>
      </c>
      <c r="V28" s="105">
        <v>317.25235399999997</v>
      </c>
      <c r="W28" s="105">
        <v>382.50351100000006</v>
      </c>
      <c r="X28" s="105">
        <v>343.37034299999993</v>
      </c>
      <c r="Y28" s="105">
        <v>450.677595</v>
      </c>
      <c r="Z28" s="105">
        <v>1493.8038030000002</v>
      </c>
      <c r="AA28" s="105">
        <v>452.01169699999997</v>
      </c>
      <c r="AB28" s="105">
        <v>465.378511</v>
      </c>
      <c r="AC28" s="105">
        <v>448.91218599999996</v>
      </c>
      <c r="AD28" s="105">
        <v>557.89299999999992</v>
      </c>
      <c r="AE28" s="105">
        <v>1924.1953939999999</v>
      </c>
      <c r="AF28" s="105">
        <f t="shared" ref="AF28:AH30" si="87">+AF3+AF8+AF13+AF18+AF23</f>
        <v>574.31873100000007</v>
      </c>
      <c r="AG28" s="105">
        <f t="shared" si="87"/>
        <v>598.49056599999994</v>
      </c>
      <c r="AH28" s="105">
        <f t="shared" si="87"/>
        <v>566.91528500000004</v>
      </c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</row>
    <row r="29" spans="1:79" customFormat="1" x14ac:dyDescent="0.25">
      <c r="A29" s="5" t="s">
        <v>130</v>
      </c>
      <c r="B29" s="105">
        <f t="shared" ref="B29:E30" si="88">+B4+B9+B14+B19+B24</f>
        <v>119.64602203698702</v>
      </c>
      <c r="C29" s="105">
        <f t="shared" si="88"/>
        <v>201.94874207462931</v>
      </c>
      <c r="D29" s="105">
        <f t="shared" si="88"/>
        <v>95.707487719379387</v>
      </c>
      <c r="E29" s="105">
        <f t="shared" si="88"/>
        <v>186.46800000000002</v>
      </c>
      <c r="F29" s="105">
        <f t="shared" si="84"/>
        <v>603.77025183099568</v>
      </c>
      <c r="G29" s="105">
        <f t="shared" ref="G29:J30" si="89">+G4+G9+G14+G19+G24</f>
        <v>142.91046055592975</v>
      </c>
      <c r="H29" s="105">
        <f t="shared" si="89"/>
        <v>227.78147831218536</v>
      </c>
      <c r="I29" s="105">
        <f t="shared" si="89"/>
        <v>139.90811158392333</v>
      </c>
      <c r="J29" s="105">
        <f t="shared" si="89"/>
        <v>240.55588858788227</v>
      </c>
      <c r="K29" s="105">
        <f t="shared" ref="K29:K30" si="90">+SUM(G29:J29)</f>
        <v>751.15593903992067</v>
      </c>
      <c r="L29" s="105">
        <f t="shared" ref="L29:M30" si="91">+L4+L9+L14+L19+L24</f>
        <v>179.54582499999998</v>
      </c>
      <c r="M29" s="105">
        <f t="shared" si="91"/>
        <v>286.43628200000001</v>
      </c>
      <c r="N29" s="105">
        <f t="shared" ref="N29:O29" si="92">+N4+N9+N14+N19+N24</f>
        <v>200.95786499999994</v>
      </c>
      <c r="O29" s="105">
        <f t="shared" si="92"/>
        <v>260.61939200000006</v>
      </c>
      <c r="P29" s="105">
        <f t="shared" ref="P29:P30" si="93">+SUM(L29:O29)</f>
        <v>927.55936399999996</v>
      </c>
      <c r="Q29" s="105">
        <f t="shared" ref="Q29:R29" si="94">+Q4+Q9+Q14+Q19+Q24</f>
        <v>257.29100900000003</v>
      </c>
      <c r="R29" s="105">
        <f t="shared" si="94"/>
        <v>378.30689899999999</v>
      </c>
      <c r="S29" s="105">
        <f t="shared" ref="S29:T29" si="95">+S4+S9+S14+S19+S24</f>
        <v>244.68140099999997</v>
      </c>
      <c r="T29" s="105">
        <f t="shared" si="95"/>
        <v>356.73743499999995</v>
      </c>
      <c r="U29" s="105">
        <f t="shared" si="86"/>
        <v>1237.0167439999998</v>
      </c>
      <c r="V29" s="105">
        <v>351.07613599999996</v>
      </c>
      <c r="W29" s="105">
        <v>434.47977100000008</v>
      </c>
      <c r="X29" s="105">
        <v>295.94620200000008</v>
      </c>
      <c r="Y29" s="105">
        <v>519.41851474078999</v>
      </c>
      <c r="Z29" s="105">
        <v>1600.92062374079</v>
      </c>
      <c r="AA29" s="105">
        <v>458.31857100000002</v>
      </c>
      <c r="AB29" s="105">
        <v>660.71898099999999</v>
      </c>
      <c r="AC29" s="105">
        <v>551.22535900000003</v>
      </c>
      <c r="AD29" s="105">
        <v>665.63299999999992</v>
      </c>
      <c r="AE29" s="105">
        <v>2335.8959109999996</v>
      </c>
      <c r="AF29" s="105">
        <f t="shared" si="87"/>
        <v>636.80566199999998</v>
      </c>
      <c r="AG29" s="105">
        <f t="shared" si="87"/>
        <v>798.08917199999996</v>
      </c>
      <c r="AH29" s="105">
        <f t="shared" si="87"/>
        <v>694.84444999999994</v>
      </c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</row>
    <row r="30" spans="1:79" customFormat="1" x14ac:dyDescent="0.25">
      <c r="A30" s="5" t="s">
        <v>128</v>
      </c>
      <c r="B30" s="105">
        <f t="shared" si="88"/>
        <v>17.297506229062002</v>
      </c>
      <c r="C30" s="105">
        <f t="shared" si="88"/>
        <v>16.394493770938002</v>
      </c>
      <c r="D30" s="105">
        <f t="shared" si="88"/>
        <v>16.548192630803257</v>
      </c>
      <c r="E30" s="105">
        <f>+E5+E10+E15+E20+E25</f>
        <v>23.72</v>
      </c>
      <c r="F30" s="105">
        <f t="shared" si="84"/>
        <v>73.960192630803263</v>
      </c>
      <c r="G30" s="105">
        <f t="shared" si="89"/>
        <v>17.604953289290389</v>
      </c>
      <c r="H30" s="105">
        <f t="shared" si="89"/>
        <v>20.144237623761718</v>
      </c>
      <c r="I30" s="105">
        <f t="shared" si="89"/>
        <v>23.265192724928259</v>
      </c>
      <c r="J30" s="105">
        <f t="shared" si="89"/>
        <v>27.225183571365648</v>
      </c>
      <c r="K30" s="105">
        <f t="shared" si="90"/>
        <v>88.239567209346006</v>
      </c>
      <c r="L30" s="105">
        <f t="shared" si="91"/>
        <v>25.277222000000002</v>
      </c>
      <c r="M30" s="105">
        <f t="shared" si="91"/>
        <v>12.407626999999993</v>
      </c>
      <c r="N30" s="105">
        <f t="shared" ref="N30:O30" si="96">+N5+N10+N15+N20+N25</f>
        <v>14.354419000000005</v>
      </c>
      <c r="O30" s="105">
        <f t="shared" si="96"/>
        <v>15.991236999999998</v>
      </c>
      <c r="P30" s="105">
        <f t="shared" si="93"/>
        <v>68.030505000000005</v>
      </c>
      <c r="Q30" s="105">
        <f t="shared" ref="Q30:R30" si="97">+Q5+Q10+Q15+Q20+Q25</f>
        <v>15.204493000000001</v>
      </c>
      <c r="R30" s="105">
        <f t="shared" si="97"/>
        <v>21.379812000000001</v>
      </c>
      <c r="S30" s="105">
        <f t="shared" ref="S30:T30" si="98">+S5+S10+S15+S20+S25</f>
        <v>20.576408000000001</v>
      </c>
      <c r="T30" s="105">
        <f t="shared" si="98"/>
        <v>17.167337000000003</v>
      </c>
      <c r="U30" s="105">
        <f t="shared" si="86"/>
        <v>74.328050000000005</v>
      </c>
      <c r="V30" s="105">
        <v>9.8624450000000028</v>
      </c>
      <c r="W30" s="105">
        <v>48.484749000000001</v>
      </c>
      <c r="X30" s="105">
        <v>39.085860000000004</v>
      </c>
      <c r="Y30" s="105">
        <v>60.279834999999999</v>
      </c>
      <c r="Z30" s="105">
        <v>157.71288899999999</v>
      </c>
      <c r="AA30" s="105">
        <v>76.737158999999991</v>
      </c>
      <c r="AB30" s="105">
        <v>147.09634600000001</v>
      </c>
      <c r="AC30" s="105">
        <v>55.844476999999998</v>
      </c>
      <c r="AD30" s="105">
        <v>17.924377999999994</v>
      </c>
      <c r="AE30" s="105">
        <v>297.60235999999998</v>
      </c>
      <c r="AF30" s="105">
        <f t="shared" si="87"/>
        <v>72.488973999999999</v>
      </c>
      <c r="AG30" s="105">
        <f t="shared" si="87"/>
        <v>185.40845299999998</v>
      </c>
      <c r="AH30" s="105">
        <f t="shared" si="87"/>
        <v>75.045623000000006</v>
      </c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</row>
    <row r="31" spans="1:79" customFormat="1" x14ac:dyDescent="0.25">
      <c r="A31" s="5" t="s">
        <v>119</v>
      </c>
      <c r="B31" s="105">
        <v>-11.900457880632759</v>
      </c>
      <c r="C31" s="105">
        <v>-12.905540208080351</v>
      </c>
      <c r="D31" s="105">
        <v>-12.437732952511666</v>
      </c>
      <c r="E31" s="105">
        <v>-13.001983136445167</v>
      </c>
      <c r="F31" s="105">
        <v>-50.245714177669946</v>
      </c>
      <c r="G31" s="105">
        <v>-13.28448965978501</v>
      </c>
      <c r="H31" s="105">
        <v>-12.727148291308589</v>
      </c>
      <c r="I31" s="105">
        <v>-11.503582229365765</v>
      </c>
      <c r="J31" s="105">
        <v>-12.155875015307386</v>
      </c>
      <c r="K31" s="105">
        <v>-49.671095195766753</v>
      </c>
      <c r="L31" s="105">
        <v>-13.144727999999999</v>
      </c>
      <c r="M31" s="105">
        <v>-15.605562000000001</v>
      </c>
      <c r="N31" s="105">
        <v>-15.259415000000004</v>
      </c>
      <c r="O31" s="105">
        <v>-12.405659999999997</v>
      </c>
      <c r="P31" s="105">
        <f>+SUM(L31:O31)</f>
        <v>-56.415365000000001</v>
      </c>
      <c r="Q31" s="105">
        <v>-17.155806999999999</v>
      </c>
      <c r="R31" s="105">
        <v>-21.783953999999998</v>
      </c>
      <c r="S31" s="105">
        <v>-16.463665000000002</v>
      </c>
      <c r="T31" s="105">
        <v>-16.853386000000008</v>
      </c>
      <c r="U31" s="105">
        <f t="shared" si="86"/>
        <v>-72.256811999999996</v>
      </c>
      <c r="V31" s="105">
        <v>-18.115749999999998</v>
      </c>
      <c r="W31" s="105">
        <v>-19.788588000000004</v>
      </c>
      <c r="X31" s="105">
        <v>-25.499108999999997</v>
      </c>
      <c r="Y31" s="105">
        <v>-24.329919999999998</v>
      </c>
      <c r="Z31" s="105">
        <v>-87.733367000000001</v>
      </c>
      <c r="AA31" s="105">
        <v>-27.209263</v>
      </c>
      <c r="AB31" s="105">
        <v>-28.077520000000003</v>
      </c>
      <c r="AC31" s="105">
        <v>-38.344670999999998</v>
      </c>
      <c r="AD31" s="105">
        <v>31.498999999999999</v>
      </c>
      <c r="AE31" s="105">
        <v>-62.132454000000003</v>
      </c>
      <c r="AF31" s="105">
        <v>-25.870825999999969</v>
      </c>
      <c r="AG31" s="105">
        <v>-49.438473999999999</v>
      </c>
      <c r="AH31" s="105">
        <v>-76.945284999999998</v>
      </c>
      <c r="AI31" s="14"/>
      <c r="AJ31" s="108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</row>
    <row r="32" spans="1:79" customFormat="1" x14ac:dyDescent="0.25">
      <c r="A32" s="17" t="s">
        <v>143</v>
      </c>
      <c r="B32" s="106">
        <f>+SUM(B28:B31)</f>
        <v>269.78852853828118</v>
      </c>
      <c r="C32" s="106">
        <f t="shared" ref="C32:L32" si="99">+SUM(C28:C31)</f>
        <v>356.55539639824502</v>
      </c>
      <c r="D32" s="106">
        <f t="shared" si="99"/>
        <v>227.80696905089945</v>
      </c>
      <c r="E32" s="106">
        <f t="shared" si="99"/>
        <v>361.65001686355475</v>
      </c>
      <c r="F32" s="106">
        <f t="shared" si="99"/>
        <v>1215.8009108509805</v>
      </c>
      <c r="G32" s="106">
        <f>+SUM(G28:G31)</f>
        <v>309.73509682797442</v>
      </c>
      <c r="H32" s="106">
        <f t="shared" si="99"/>
        <v>407.52887209663481</v>
      </c>
      <c r="I32" s="106">
        <f t="shared" si="99"/>
        <v>309.84476807065761</v>
      </c>
      <c r="J32" s="106">
        <f t="shared" si="99"/>
        <v>458.99917326308264</v>
      </c>
      <c r="K32" s="106">
        <f>+SUM(K28:K31)</f>
        <v>1486.1079102583494</v>
      </c>
      <c r="L32" s="106">
        <f t="shared" si="99"/>
        <v>395.25348700000001</v>
      </c>
      <c r="M32" s="106">
        <f>+SUM(M28:M31)</f>
        <v>493.73223499999995</v>
      </c>
      <c r="N32" s="106">
        <f t="shared" ref="N32" si="100">+SUM(N28:N31)</f>
        <v>393.14558699999998</v>
      </c>
      <c r="O32" s="106">
        <f t="shared" ref="O32" si="101">+SUM(O28:O31)</f>
        <v>526.57959400000004</v>
      </c>
      <c r="P32" s="106">
        <f t="shared" ref="P32:U32" si="102">+SUM(P28:P31)</f>
        <v>1808.7109029999997</v>
      </c>
      <c r="Q32" s="106">
        <f t="shared" si="102"/>
        <v>515.20626600000003</v>
      </c>
      <c r="R32" s="106">
        <f t="shared" si="102"/>
        <v>665.83906899999999</v>
      </c>
      <c r="S32" s="106">
        <f t="shared" si="102"/>
        <v>496.30452700000001</v>
      </c>
      <c r="T32" s="106">
        <f t="shared" si="102"/>
        <v>667.43495199999995</v>
      </c>
      <c r="U32" s="106">
        <f t="shared" si="102"/>
        <v>2344.7848140000001</v>
      </c>
      <c r="V32" s="106">
        <f t="shared" ref="V32" si="103">+SUM(V28:V31)</f>
        <v>660.07518499999981</v>
      </c>
      <c r="W32" s="106">
        <f t="shared" ref="W32" si="104">+SUM(W28:W31)</f>
        <v>845.67944300000011</v>
      </c>
      <c r="X32" s="106">
        <f t="shared" ref="X32" si="105">+SUM(X28:X31)</f>
        <v>652.90329600000007</v>
      </c>
      <c r="Y32" s="106">
        <f t="shared" ref="Y32" si="106">+SUM(Y28:Y31)</f>
        <v>1006.0460247407899</v>
      </c>
      <c r="Z32" s="106">
        <f>+SUM(Z28:Z31)</f>
        <v>3164.7039487407906</v>
      </c>
      <c r="AA32" s="106">
        <f>+SUM(AA28:AA31)</f>
        <v>959.85816399999999</v>
      </c>
      <c r="AB32" s="106">
        <f t="shared" ref="AB32" si="107">+SUM(AB28:AB31)</f>
        <v>1245.1163179999999</v>
      </c>
      <c r="AC32" s="106">
        <f t="shared" ref="AC32" si="108">+SUM(AC28:AC31)</f>
        <v>1017.6373510000002</v>
      </c>
      <c r="AD32" s="106">
        <f t="shared" ref="AD32:AE32" si="109">+SUM(AD28:AD31)</f>
        <v>1272.9493779999998</v>
      </c>
      <c r="AE32" s="106">
        <f t="shared" si="109"/>
        <v>4495.5612110000002</v>
      </c>
      <c r="AF32" s="106">
        <f>+SUM(AF28:AF31)</f>
        <v>1257.7425410000001</v>
      </c>
      <c r="AG32" s="106">
        <f>+SUM(AG28:AG31)</f>
        <v>1532.5497169999999</v>
      </c>
      <c r="AH32" s="106">
        <f>+SUM(AH28:AH31)</f>
        <v>1259.8600730000001</v>
      </c>
      <c r="AI32" s="14"/>
      <c r="AJ32" s="108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</row>
    <row r="33" spans="1:36" s="11" customFormat="1" x14ac:dyDescent="0.25">
      <c r="B33" s="21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70"/>
      <c r="AD33" s="70"/>
      <c r="AE33" s="70"/>
      <c r="AF33" s="70"/>
      <c r="AG33" s="70"/>
    </row>
    <row r="34" spans="1:36" s="11" customFormat="1" x14ac:dyDescent="0.25">
      <c r="B34" s="21"/>
      <c r="C34" s="21"/>
      <c r="D34" s="21"/>
      <c r="E34" s="21"/>
      <c r="F34" s="21"/>
      <c r="G34" s="21"/>
      <c r="H34" s="21"/>
      <c r="I34" s="21"/>
      <c r="J34" s="27"/>
      <c r="K34" s="27"/>
      <c r="L34" s="27"/>
      <c r="M34" s="27"/>
      <c r="N34" s="28"/>
      <c r="O34" s="28"/>
      <c r="P34" s="27"/>
      <c r="Q34" s="27"/>
      <c r="R34" s="27"/>
      <c r="S34" s="27"/>
      <c r="T34" s="27"/>
      <c r="U34" s="27"/>
      <c r="V34" s="27"/>
      <c r="W34" s="27"/>
      <c r="X34" s="28"/>
      <c r="Y34" s="28"/>
      <c r="Z34" s="27"/>
      <c r="AA34" s="28"/>
      <c r="AB34" s="28"/>
      <c r="AC34" s="70"/>
      <c r="AD34" s="70"/>
      <c r="AE34" s="70"/>
      <c r="AF34" s="70"/>
      <c r="AG34" s="70"/>
      <c r="AH34" s="111"/>
      <c r="AI34" s="111"/>
      <c r="AJ34" s="112"/>
    </row>
    <row r="35" spans="1:36" s="11" customFormat="1" x14ac:dyDescent="0.25">
      <c r="B35" s="21"/>
      <c r="C35" s="21"/>
      <c r="D35" s="21"/>
      <c r="E35" s="21"/>
      <c r="F35" s="21"/>
      <c r="G35" s="21"/>
      <c r="H35" s="21"/>
      <c r="I35" s="21"/>
      <c r="J35" s="27"/>
      <c r="K35" s="27"/>
      <c r="L35" s="27"/>
      <c r="M35" s="27"/>
      <c r="N35" s="28"/>
      <c r="O35" s="28"/>
      <c r="P35" s="27"/>
      <c r="Q35" s="27"/>
      <c r="R35" s="27"/>
      <c r="S35" s="27"/>
      <c r="T35" s="27"/>
      <c r="U35" s="27"/>
      <c r="V35" s="27"/>
      <c r="W35" s="27"/>
      <c r="X35" s="28"/>
      <c r="Y35" s="28"/>
      <c r="Z35" s="27"/>
      <c r="AA35" s="28"/>
      <c r="AB35" s="28"/>
      <c r="AC35" s="28"/>
      <c r="AD35" s="28"/>
      <c r="AE35" s="28"/>
      <c r="AF35" s="28"/>
      <c r="AG35" s="28"/>
    </row>
    <row r="36" spans="1:36" s="28" customFormat="1" x14ac:dyDescent="0.25">
      <c r="A36" s="11"/>
      <c r="B36" s="21"/>
      <c r="C36" s="21"/>
      <c r="D36" s="27"/>
      <c r="E36" s="27"/>
      <c r="F36" s="27"/>
      <c r="G36" s="27"/>
      <c r="H36" s="27"/>
      <c r="I36" s="27"/>
      <c r="J36" s="27"/>
      <c r="K36" s="27"/>
      <c r="L36" s="27"/>
      <c r="M36" s="27"/>
      <c r="P36" s="27"/>
      <c r="Q36" s="27"/>
      <c r="R36" s="27"/>
      <c r="S36" s="27"/>
      <c r="T36" s="27"/>
      <c r="U36" s="27"/>
      <c r="V36" s="27"/>
      <c r="W36" s="27"/>
      <c r="Z36" s="27"/>
    </row>
    <row r="37" spans="1:36" s="28" customFormat="1" x14ac:dyDescent="0.25">
      <c r="A37" s="11"/>
      <c r="B37" s="11"/>
      <c r="C37" s="11"/>
    </row>
    <row r="38" spans="1:36" s="28" customFormat="1" x14ac:dyDescent="0.25">
      <c r="A38" s="11"/>
      <c r="B38" s="11"/>
      <c r="C38" s="11"/>
    </row>
    <row r="39" spans="1:36" s="28" customFormat="1" x14ac:dyDescent="0.25">
      <c r="A39" s="11"/>
      <c r="B39" s="11"/>
      <c r="C39" s="11"/>
    </row>
    <row r="40" spans="1:36" s="28" customFormat="1" x14ac:dyDescent="0.25">
      <c r="A40" s="11"/>
      <c r="B40" s="11"/>
      <c r="C40" s="11"/>
    </row>
    <row r="41" spans="1:36" s="28" customFormat="1" x14ac:dyDescent="0.25">
      <c r="A41" s="11"/>
      <c r="B41" s="11"/>
      <c r="C41" s="11"/>
    </row>
    <row r="42" spans="1:36" s="28" customFormat="1" x14ac:dyDescent="0.25">
      <c r="A42" s="11"/>
      <c r="B42" s="11"/>
      <c r="C42" s="11"/>
    </row>
    <row r="43" spans="1:36" s="28" customFormat="1" x14ac:dyDescent="0.25">
      <c r="A43" s="11"/>
      <c r="B43" s="11"/>
      <c r="C43" s="11"/>
    </row>
    <row r="44" spans="1:36" s="28" customFormat="1" x14ac:dyDescent="0.25">
      <c r="A44" s="11"/>
      <c r="B44" s="11"/>
      <c r="C44" s="11"/>
    </row>
    <row r="45" spans="1:36" s="28" customFormat="1" x14ac:dyDescent="0.25">
      <c r="A45" s="11"/>
      <c r="B45" s="11"/>
      <c r="C45" s="11"/>
    </row>
    <row r="46" spans="1:36" s="28" customFormat="1" x14ac:dyDescent="0.25">
      <c r="A46" s="11"/>
      <c r="B46" s="11"/>
      <c r="C46" s="11"/>
    </row>
    <row r="47" spans="1:36" s="28" customFormat="1" x14ac:dyDescent="0.25">
      <c r="A47" s="11"/>
      <c r="B47" s="11"/>
      <c r="C47" s="11"/>
    </row>
    <row r="48" spans="1:36" s="28" customFormat="1" x14ac:dyDescent="0.25">
      <c r="A48" s="11"/>
      <c r="B48" s="11"/>
      <c r="C48" s="11"/>
    </row>
    <row r="49" spans="1:3" s="28" customFormat="1" x14ac:dyDescent="0.25">
      <c r="A49" s="11"/>
      <c r="B49" s="11"/>
      <c r="C49" s="11"/>
    </row>
    <row r="50" spans="1:3" s="28" customFormat="1" x14ac:dyDescent="0.25">
      <c r="A50" s="11"/>
      <c r="B50" s="11"/>
      <c r="C50" s="11"/>
    </row>
    <row r="51" spans="1:3" s="28" customFormat="1" x14ac:dyDescent="0.25">
      <c r="A51" s="11"/>
      <c r="B51" s="11"/>
      <c r="C51" s="11"/>
    </row>
    <row r="52" spans="1:3" s="28" customFormat="1" x14ac:dyDescent="0.25">
      <c r="A52" s="11"/>
      <c r="B52" s="11"/>
      <c r="C52" s="11"/>
    </row>
    <row r="53" spans="1:3" s="28" customFormat="1" x14ac:dyDescent="0.25">
      <c r="A53" s="11"/>
      <c r="B53" s="11"/>
      <c r="C53" s="11"/>
    </row>
    <row r="54" spans="1:3" s="28" customFormat="1" x14ac:dyDescent="0.25">
      <c r="A54" s="11"/>
      <c r="B54" s="11"/>
      <c r="C54" s="11"/>
    </row>
    <row r="55" spans="1:3" s="28" customFormat="1" x14ac:dyDescent="0.25">
      <c r="A55" s="11"/>
      <c r="B55" s="11"/>
      <c r="C55" s="11"/>
    </row>
    <row r="56" spans="1:3" s="28" customFormat="1" x14ac:dyDescent="0.25">
      <c r="A56" s="11"/>
      <c r="B56" s="11"/>
      <c r="C56" s="11"/>
    </row>
    <row r="57" spans="1:3" s="28" customFormat="1" x14ac:dyDescent="0.25">
      <c r="A57" s="11"/>
      <c r="B57" s="11"/>
      <c r="C57" s="11"/>
    </row>
    <row r="58" spans="1:3" s="28" customFormat="1" x14ac:dyDescent="0.25">
      <c r="A58" s="11"/>
      <c r="B58" s="11"/>
      <c r="C58" s="11"/>
    </row>
    <row r="59" spans="1:3" s="28" customFormat="1" x14ac:dyDescent="0.25">
      <c r="A59" s="11"/>
      <c r="B59" s="11"/>
      <c r="C59" s="11"/>
    </row>
    <row r="60" spans="1:3" s="28" customFormat="1" x14ac:dyDescent="0.25">
      <c r="A60" s="11"/>
      <c r="B60" s="11"/>
      <c r="C60" s="11"/>
    </row>
    <row r="61" spans="1:3" s="28" customFormat="1" x14ac:dyDescent="0.25">
      <c r="A61" s="11"/>
      <c r="B61" s="11"/>
      <c r="C61" s="11"/>
    </row>
    <row r="62" spans="1:3" s="28" customFormat="1" x14ac:dyDescent="0.25">
      <c r="A62" s="11"/>
      <c r="B62" s="11"/>
      <c r="C62" s="11"/>
    </row>
    <row r="63" spans="1:3" s="28" customFormat="1" x14ac:dyDescent="0.25">
      <c r="A63" s="11"/>
      <c r="B63" s="11"/>
      <c r="C63" s="11"/>
    </row>
  </sheetData>
  <phoneticPr fontId="16" type="noConversion"/>
  <pageMargins left="0.7" right="0.7" top="0.75" bottom="0.75" header="0.3" footer="0.3"/>
  <pageSetup paperSize="9" orientation="portrait" r:id="rId1"/>
  <ignoredErrors>
    <ignoredError sqref="F28:F30 K28:K30 F32 P28:P30 U28:U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2807e7-6bb3-4cf6-b489-fe3f6703d216" xsi:nil="true"/>
    <SharedWithUsers xmlns="09279502-b3b0-4c51-802f-23ca924b2481">
      <UserInfo>
        <DisplayName>Irina Camus</DisplayName>
        <AccountId>97</AccountId>
        <AccountType/>
      </UserInfo>
    </SharedWithUsers>
    <lcf76f155ced4ddcb4097134ff3c332f xmlns="1640f525-bd54-41d5-b89f-ad0ab3703cc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333722CACDE41A5D4081BB56F8B2D" ma:contentTypeVersion="14" ma:contentTypeDescription="Create a new document." ma:contentTypeScope="" ma:versionID="61996e326857a5e28fd749d241f98860">
  <xsd:schema xmlns:xsd="http://www.w3.org/2001/XMLSchema" xmlns:xs="http://www.w3.org/2001/XMLSchema" xmlns:p="http://schemas.microsoft.com/office/2006/metadata/properties" xmlns:ns2="1640f525-bd54-41d5-b89f-ad0ab3703cc0" xmlns:ns3="09279502-b3b0-4c51-802f-23ca924b2481" xmlns:ns4="572807e7-6bb3-4cf6-b489-fe3f6703d216" targetNamespace="http://schemas.microsoft.com/office/2006/metadata/properties" ma:root="true" ma:fieldsID="3f6a59a02925d8dc5b57605b7cd4d173" ns2:_="" ns3:_="" ns4:_="">
    <xsd:import namespace="1640f525-bd54-41d5-b89f-ad0ab3703cc0"/>
    <xsd:import namespace="09279502-b3b0-4c51-802f-23ca924b2481"/>
    <xsd:import namespace="572807e7-6bb3-4cf6-b489-fe3f6703d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0f525-bd54-41d5-b89f-ad0ab3703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6a5d18-4245-4e59-986e-abeea5cd3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79502-b3b0-4c51-802f-23ca924b2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807e7-6bb3-4cf6-b489-fe3f6703d2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83e8eec-1ae8-4fd5-b029-b29233f8deb6}" ma:internalName="TaxCatchAll" ma:showField="CatchAllData" ma:web="09279502-b3b0-4c51-802f-23ca924b24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8FCB00-9604-4212-97AF-28FC4BF46945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ecbaa7b4-61fa-4d7d-86ff-c05b04c3b887"/>
    <ds:schemaRef ds:uri="http://schemas.microsoft.com/office/2006/documentManagement/types"/>
    <ds:schemaRef ds:uri="07173b8d-9652-4d4e-9e50-2af99aaecf0d"/>
    <ds:schemaRef ds:uri="572807e7-6bb3-4cf6-b489-fe3f6703d21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2DE2E4-8221-4E3C-9540-3A9599A3EC33}"/>
</file>

<file path=customXml/itemProps3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 MC</vt:lpstr>
      <vt:lpstr>Income Statement-BA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Tommy Hua</cp:lastModifiedBy>
  <cp:revision/>
  <dcterms:created xsi:type="dcterms:W3CDTF">2019-05-06T11:38:59Z</dcterms:created>
  <dcterms:modified xsi:type="dcterms:W3CDTF">2023-11-07T08:39:17Z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0x010100405333722CACDE41A5D4081BB56F8B2D</vt:lpwstr>
  </property>
  <property fmtid="{D5CDD505-2E9C-101B-9397-08002B2CF9AE}" pid="3" name="MediaServiceImageTags">
    <vt:lpwstr/>
  </property>
  <property fmtid="{D5CDD505-2E9C-101B-9397-08002B2CF9AE}" pid="4" name="Order">
    <vt:r8>4793700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